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mc:AlternateContent xmlns:mc="http://schemas.openxmlformats.org/markup-compatibility/2006">
    <mc:Choice Requires="x15">
      <x15ac:absPath xmlns:x15ac="http://schemas.microsoft.com/office/spreadsheetml/2010/11/ac" url="C:\Users\HG\Desktop\BE-ontslag\Bewerken versies\"/>
    </mc:Choice>
  </mc:AlternateContent>
  <xr:revisionPtr revIDLastSave="0" documentId="13_ncr:1_{3F713C93-DB9F-4764-86EE-99C1A1DCF10D}" xr6:coauthVersionLast="45" xr6:coauthVersionMax="45" xr10:uidLastSave="{00000000-0000-0000-0000-000000000000}"/>
  <bookViews>
    <workbookView xWindow="-96" yWindow="-96" windowWidth="23232" windowHeight="12552" firstSheet="1" activeTab="1" xr2:uid="{00000000-000D-0000-FFFF-FFFF00000000}"/>
  </bookViews>
  <sheets>
    <sheet name="Start2" sheetId="9" state="hidden" r:id="rId1"/>
    <sheet name="Start" sheetId="30" r:id="rId2"/>
    <sheet name="Ontslagregeling" sheetId="2" state="hidden" r:id="rId3"/>
    <sheet name="O" sheetId="28" state="hidden" r:id="rId4"/>
    <sheet name="B" sheetId="1" state="hidden" r:id="rId5"/>
    <sheet name="UWV-ontslag" sheetId="14" r:id="rId6"/>
    <sheet name="U" sheetId="27" state="hidden" r:id="rId7"/>
    <sheet name="Stappenplan" sheetId="11" r:id="rId8"/>
    <sheet name="1. Invoer" sheetId="5" r:id="rId9"/>
    <sheet name="2. Ontslagpagina" sheetId="4" r:id="rId10"/>
    <sheet name="2. Print" sheetId="26" r:id="rId11"/>
    <sheet name="3. Motivatie" sheetId="25" r:id="rId12"/>
    <sheet name="3. WN" sheetId="21" r:id="rId13"/>
    <sheet name="3. WN-2" sheetId="29" r:id="rId14"/>
    <sheet name="4. Formulieren" sheetId="6" r:id="rId15"/>
    <sheet name="4. Bijlage" sheetId="22" r:id="rId16"/>
    <sheet name="5. VSO" sheetId="7" r:id="rId17"/>
    <sheet name="5. WN" sheetId="10" r:id="rId18"/>
    <sheet name="6. UWV-1" sheetId="17" r:id="rId19"/>
    <sheet name="6. UWV-2" sheetId="18" r:id="rId20"/>
    <sheet name="7. Bijlage" sheetId="24" r:id="rId21"/>
    <sheet name="8. WN" sheetId="13"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11" l="1" a="1"/>
  <c r="G25" i="11" s="1"/>
  <c r="Q11" i="5" l="1" a="1"/>
  <c r="Q11" i="5" s="1"/>
  <c r="Q9" i="5" a="1"/>
  <c r="Q9" i="5" s="1"/>
  <c r="Q8" i="5" a="1"/>
  <c r="Q8" i="5" s="1"/>
  <c r="Q7" i="5" a="1"/>
  <c r="Q7" i="5" s="1"/>
  <c r="Q6" i="5" a="1"/>
  <c r="Q6" i="5" s="1"/>
  <c r="S5" i="5" a="1"/>
  <c r="S5" i="5" s="1"/>
  <c r="N5" i="5" a="1"/>
  <c r="N5" i="5" s="1"/>
  <c r="L48" i="11" a="1"/>
  <c r="L48" i="11" s="1"/>
  <c r="G48" i="11" a="1"/>
  <c r="G48" i="11" s="1"/>
  <c r="F48" i="11" a="1"/>
  <c r="F48" i="11" s="1"/>
  <c r="O45" i="11" a="1"/>
  <c r="O45" i="11" s="1"/>
  <c r="L45" i="11" a="1"/>
  <c r="L45" i="11" s="1"/>
  <c r="G45" i="11" a="1"/>
  <c r="G45" i="11" s="1"/>
  <c r="F45" i="11" a="1"/>
  <c r="F45" i="11" s="1"/>
  <c r="J44" i="11" a="1"/>
  <c r="J44" i="11" s="1"/>
  <c r="J43" i="11" a="1"/>
  <c r="J43" i="11" s="1"/>
  <c r="L29" i="11"/>
  <c r="O23" i="11" a="1"/>
  <c r="O23" i="11" s="1"/>
  <c r="L23" i="11" a="1"/>
  <c r="L23" i="11" s="1"/>
  <c r="G23" i="11" a="1"/>
  <c r="G23" i="11" s="1"/>
  <c r="F15" i="11" a="1"/>
  <c r="F15" i="11" s="1"/>
  <c r="S3" i="1" l="1" a="1"/>
  <c r="S3" i="1" s="1"/>
  <c r="S4" i="1" s="1" a="1"/>
  <c r="S4" i="1" s="1"/>
  <c r="C17" i="2" a="1"/>
  <c r="C17" i="2" s="1"/>
  <c r="Z10" i="2"/>
  <c r="Y10" i="2"/>
  <c r="B8" i="29" l="1"/>
  <c r="J6" i="2"/>
  <c r="E10" i="2"/>
  <c r="T2" i="1" l="1"/>
  <c r="J5" i="2" s="1"/>
  <c r="G5" i="2" s="1" a="1"/>
  <c r="G5" i="2" s="1"/>
  <c r="J27" i="2" l="1" a="1"/>
  <c r="J27" i="2" s="1"/>
  <c r="AN33" i="1" a="1"/>
  <c r="AN33" i="1" s="1"/>
  <c r="AN38" i="1" l="1" a="1"/>
  <c r="AN38" i="1" s="1"/>
  <c r="S10" i="2" s="1"/>
  <c r="AI47" i="1" a="1"/>
  <c r="AI47" i="1" s="1"/>
  <c r="K24" i="2" s="1"/>
  <c r="AI37" i="1" a="1"/>
  <c r="AI37" i="1" s="1"/>
  <c r="K8" i="2" s="1"/>
  <c r="AI53" i="1" a="1"/>
  <c r="AI53" i="1" s="1"/>
  <c r="K43" i="2" s="1"/>
  <c r="AI52" i="1" a="1"/>
  <c r="AI52" i="1" s="1"/>
  <c r="K40" i="2" s="1"/>
  <c r="AL37" i="1" a="1"/>
  <c r="AL37" i="1" s="1"/>
  <c r="Q8" i="2" s="1"/>
  <c r="AI57" i="1" a="1"/>
  <c r="AI57" i="1" s="1"/>
  <c r="K45" i="2" s="1"/>
  <c r="AI56" i="1" a="1"/>
  <c r="AI56" i="1" s="1"/>
  <c r="K44" i="2" s="1"/>
  <c r="AI41" i="1" a="1"/>
  <c r="AI41" i="1" s="1"/>
  <c r="K16" i="2" s="1"/>
  <c r="AI42" i="1" a="1"/>
  <c r="AI42" i="1" s="1"/>
  <c r="K17" i="2" s="1"/>
  <c r="AI43" i="1" a="1"/>
  <c r="AI43" i="1" s="1"/>
  <c r="AI40" i="1" a="1"/>
  <c r="AI40" i="1" s="1"/>
  <c r="K12" i="2" s="1"/>
  <c r="AI39" i="1" a="1"/>
  <c r="AI39" i="1" s="1"/>
  <c r="K19" i="2" s="1"/>
  <c r="AK40" i="1" a="1"/>
  <c r="AK40" i="1" s="1"/>
  <c r="Q12" i="2" s="1"/>
  <c r="AI34" i="1" a="1"/>
  <c r="AI34" i="1" s="1"/>
  <c r="Q6" i="2" s="1"/>
  <c r="Q40" i="2" s="1"/>
  <c r="AI35" i="1" a="1"/>
  <c r="AI35" i="1" s="1"/>
  <c r="AI36" i="1" a="1"/>
  <c r="AI36" i="1" s="1"/>
  <c r="AI38" i="1" a="1"/>
  <c r="AI38" i="1" s="1"/>
  <c r="K10" i="2" s="1"/>
  <c r="AI44" i="1" a="1"/>
  <c r="AI44" i="1" s="1"/>
  <c r="AI46" i="1" a="1"/>
  <c r="AI46" i="1" s="1"/>
  <c r="AI45" i="1" a="1"/>
  <c r="AI45" i="1" s="1"/>
  <c r="U8" i="2" l="1"/>
  <c r="Q17" i="2"/>
  <c r="Q16" i="2"/>
  <c r="B139" i="6" l="1" a="1"/>
  <c r="B139" i="6" s="1"/>
  <c r="B39" i="6" l="1" a="1"/>
  <c r="B39" i="6" s="1"/>
  <c r="B37" i="6" a="1"/>
  <c r="B37" i="6" s="1"/>
  <c r="B51" i="6" l="1" a="1"/>
  <c r="B51" i="6" s="1"/>
  <c r="B52" i="6" a="1"/>
  <c r="B52" i="6" s="1"/>
  <c r="B53" i="6" a="1"/>
  <c r="B53" i="6" s="1"/>
  <c r="B54" i="6" a="1"/>
  <c r="B54" i="6" s="1"/>
  <c r="B55" i="6" a="1"/>
  <c r="B55" i="6" s="1"/>
  <c r="B56" i="6" a="1"/>
  <c r="B56" i="6" s="1"/>
  <c r="G64" i="1" l="1"/>
  <c r="J66" i="1" s="1" a="1"/>
  <c r="J66" i="1" s="1"/>
  <c r="H66" i="1" l="1" a="1"/>
  <c r="H66" i="1" s="1"/>
  <c r="Z16" i="1" l="1" a="1"/>
  <c r="Z16" i="1" s="1"/>
  <c r="H67" i="1" l="1"/>
  <c r="J67" i="1" l="1"/>
  <c r="U13" i="1" l="1" a="1"/>
  <c r="U13" i="1" s="1"/>
  <c r="H17" i="1" l="1" a="1"/>
  <c r="H17" i="1" s="1"/>
  <c r="R23" i="1" l="1" a="1"/>
  <c r="R23" i="1" s="1"/>
  <c r="AI13" i="1"/>
  <c r="R19" i="1"/>
  <c r="S49" i="1" a="1"/>
  <c r="S49" i="1" s="1"/>
  <c r="T11" i="1"/>
  <c r="R10" i="1"/>
  <c r="R43" i="1"/>
  <c r="S43" i="1" s="1" a="1"/>
  <c r="S43" i="1" s="1"/>
  <c r="R42" i="1"/>
  <c r="S42" i="1" s="1" a="1"/>
  <c r="S42" i="1" s="1"/>
  <c r="R41" i="1"/>
  <c r="R53" i="1" a="1"/>
  <c r="R53" i="1" s="1"/>
  <c r="R54" i="1" a="1"/>
  <c r="R54" i="1" s="1"/>
  <c r="R51" i="1" a="1"/>
  <c r="R51" i="1" s="1"/>
  <c r="R31" i="1" a="1"/>
  <c r="R31" i="1" s="1"/>
  <c r="R30" i="1" a="1"/>
  <c r="R30" i="1" s="1"/>
  <c r="R29" i="1" a="1"/>
  <c r="R29" i="1" s="1"/>
  <c r="R26" i="1" a="1"/>
  <c r="R26" i="1" s="1"/>
  <c r="U26" i="1" s="1"/>
  <c r="R25" i="1" a="1"/>
  <c r="R25" i="1" s="1"/>
  <c r="U25" i="1" s="1"/>
  <c r="Z13" i="1" l="1" a="1"/>
  <c r="Z13" i="1" s="1"/>
  <c r="G8" i="2" s="1"/>
  <c r="R24" i="1" a="1"/>
  <c r="R24" i="1" s="1"/>
  <c r="Z15" i="1" a="1"/>
  <c r="Z15" i="1" s="1"/>
  <c r="G12" i="2" s="1"/>
  <c r="V2" i="1" a="1"/>
  <c r="V2" i="1" s="1"/>
  <c r="R22" i="1" a="1"/>
  <c r="R22" i="1" s="1"/>
  <c r="V1" i="1" a="1"/>
  <c r="V1" i="1" s="1"/>
  <c r="Z14" i="1" a="1"/>
  <c r="Z14" i="1" s="1"/>
  <c r="G10" i="2" s="1"/>
  <c r="AI20" i="1"/>
  <c r="T14" i="1" a="1"/>
  <c r="T14" i="1" s="1"/>
  <c r="AC17" i="1"/>
  <c r="G3" i="2" l="1"/>
  <c r="T12" i="1" a="1"/>
  <c r="T12" i="1" s="1"/>
  <c r="R11" i="1" s="1"/>
  <c r="R16" i="1" l="1"/>
  <c r="M66" i="1"/>
  <c r="P66" i="1"/>
  <c r="U30" i="1" l="1" a="1"/>
  <c r="U30" i="1" s="1"/>
  <c r="U24" i="1" a="1"/>
  <c r="U24" i="1" s="1"/>
  <c r="U31" i="1" a="1"/>
  <c r="U31" i="1" s="1"/>
  <c r="U29" i="1" a="1"/>
  <c r="U29" i="1" s="1"/>
  <c r="U23" i="1" l="1"/>
  <c r="R33" i="1" s="1" a="1"/>
  <c r="R33" i="1" s="1"/>
  <c r="F67" i="1"/>
  <c r="S33" i="1" l="1"/>
  <c r="U47" i="2"/>
  <c r="AE7" i="1"/>
  <c r="AE8" i="1" s="1"/>
  <c r="AE9" i="1" s="1"/>
  <c r="U51" i="1" a="1"/>
  <c r="U51" i="1" s="1"/>
  <c r="R52" i="1" s="1"/>
  <c r="AI5" i="1"/>
  <c r="AF65" i="1" a="1"/>
  <c r="AF65" i="1" s="1"/>
  <c r="A73" i="1"/>
  <c r="AK41" i="1" l="1" a="1"/>
  <c r="AK41" i="1" s="1"/>
  <c r="U16" i="2" s="1"/>
  <c r="AI17" i="1"/>
  <c r="A69" i="1" l="1"/>
  <c r="B124" i="6" l="1" a="1"/>
  <c r="B124" i="6" s="1"/>
  <c r="H14" i="1" a="1"/>
  <c r="H14" i="1" s="1"/>
  <c r="E30" i="1" a="1"/>
  <c r="E30" i="1" s="1"/>
  <c r="E54" i="1" a="1"/>
  <c r="E54" i="1" s="1"/>
  <c r="E29" i="1" a="1"/>
  <c r="E29" i="1" s="1"/>
  <c r="E59" i="1" a="1"/>
  <c r="E59" i="1" s="1"/>
  <c r="E23" i="1" a="1"/>
  <c r="E23" i="1" s="1"/>
  <c r="E25" i="1" a="1"/>
  <c r="E25" i="1" s="1"/>
  <c r="E31" i="1" a="1"/>
  <c r="E31" i="1" s="1"/>
  <c r="A76" i="1"/>
  <c r="E19" i="1"/>
  <c r="E24" i="1" a="1"/>
  <c r="E24" i="1" s="1"/>
  <c r="E26" i="1" a="1"/>
  <c r="E26" i="1" s="1"/>
  <c r="E51" i="1" a="1"/>
  <c r="E51" i="1" s="1"/>
  <c r="A74" i="1"/>
  <c r="E22" i="1" s="1" a="1"/>
  <c r="E22" i="1" s="1"/>
  <c r="E58" i="1" a="1"/>
  <c r="E58" i="1" s="1"/>
  <c r="E53" i="1" l="1" a="1"/>
  <c r="E53" i="1" s="1"/>
  <c r="E10" i="1"/>
  <c r="A79" i="1"/>
  <c r="B45" i="1" l="1" a="1"/>
  <c r="B45" i="1" s="1"/>
  <c r="B40" i="1" a="1"/>
  <c r="B40" i="1" s="1"/>
  <c r="B42" i="1" a="1"/>
  <c r="B42" i="1" s="1"/>
  <c r="B41" i="1" a="1"/>
  <c r="B41" i="1" s="1"/>
  <c r="F43" i="1"/>
  <c r="B46" i="1" l="1" a="1"/>
  <c r="B46" i="1" s="1"/>
  <c r="H11" i="1" a="1"/>
  <c r="H11" i="1" s="1"/>
  <c r="H25" i="1" l="1"/>
  <c r="H26" i="1" l="1"/>
  <c r="A72" i="1" l="1"/>
  <c r="AD66" i="4" l="1" a="1"/>
  <c r="AD66" i="4" s="1"/>
  <c r="K27" i="2" l="1"/>
  <c r="E46" i="1" l="1" a="1"/>
  <c r="E46" i="1" s="1"/>
  <c r="E11" i="1"/>
  <c r="E16" i="1" s="1"/>
  <c r="H31" i="1" s="1" a="1"/>
  <c r="H31" i="1" s="1"/>
  <c r="H12" i="1" l="1"/>
  <c r="H13" i="1" s="1" a="1"/>
  <c r="H13" i="1" s="1"/>
  <c r="H16" i="1" s="1"/>
  <c r="H18" i="1" s="1"/>
  <c r="H19" i="1" s="1" a="1"/>
  <c r="H19" i="1" s="1"/>
  <c r="H20" i="1" s="1"/>
  <c r="E15" i="1" s="1"/>
  <c r="E12" i="1" a="1"/>
  <c r="E12" i="1" s="1"/>
  <c r="H29" i="1" a="1"/>
  <c r="H29" i="1" s="1"/>
  <c r="H30" i="1" a="1"/>
  <c r="H30" i="1" s="1"/>
  <c r="H15" i="1" l="1" a="1"/>
  <c r="H15" i="1" s="1"/>
  <c r="E17" i="1"/>
  <c r="H22" i="1"/>
  <c r="H23" i="1"/>
  <c r="E33" i="1" s="1"/>
  <c r="E14" i="1"/>
  <c r="H51" i="1" l="1"/>
  <c r="E52" i="1" s="1"/>
  <c r="H21" i="1"/>
  <c r="E48" i="1" s="1"/>
  <c r="E60" i="1" s="1"/>
  <c r="F46" i="1"/>
  <c r="G46" i="1" s="1"/>
  <c r="E13" i="1" a="1"/>
  <c r="E13" i="1" s="1"/>
  <c r="E18" i="1"/>
  <c r="E44" i="1" s="1" a="1"/>
  <c r="E44" i="1" s="1"/>
  <c r="E55" i="1" l="1"/>
  <c r="E49" i="1"/>
  <c r="E20" i="1"/>
  <c r="E36" i="1" s="1"/>
  <c r="E56" i="1" l="1"/>
  <c r="E63" i="1" s="1"/>
  <c r="E45" i="1" a="1"/>
  <c r="E45" i="1" s="1"/>
  <c r="Y31" i="4" l="1"/>
  <c r="Z43" i="1" a="1"/>
  <c r="Z43" i="1" s="1"/>
  <c r="Y16" i="2" s="1"/>
  <c r="AD36" i="1" a="1"/>
  <c r="AD36" i="1" s="1"/>
  <c r="Z8" i="2" s="1"/>
  <c r="AD43" i="1" a="1"/>
  <c r="AD43" i="1" s="1"/>
  <c r="Z16" i="2" s="1"/>
  <c r="Z62" i="1" a="1"/>
  <c r="Z62" i="1" s="1"/>
  <c r="C22" i="2" s="1"/>
  <c r="Z36" i="1" a="1"/>
  <c r="Z36" i="1" s="1"/>
  <c r="Y8" i="2" s="1"/>
  <c r="Z49" i="1" a="1"/>
  <c r="Z49" i="1" s="1"/>
  <c r="Y19" i="2" s="1"/>
  <c r="Z46" i="1" a="1"/>
  <c r="Z46" i="1" s="1"/>
  <c r="Y41" i="2" s="1"/>
  <c r="Z60" i="1" a="1"/>
  <c r="Z60" i="1" s="1"/>
  <c r="C20" i="2" s="1"/>
  <c r="Z40" i="1" a="1"/>
  <c r="Z40" i="1" s="1"/>
  <c r="Z14" i="2" s="1"/>
  <c r="Z61" i="1" a="1"/>
  <c r="Z61" i="1" s="1"/>
  <c r="C21" i="2" s="1"/>
  <c r="Z52" i="1" a="1"/>
  <c r="Z52" i="1" s="1"/>
  <c r="U6" i="2" s="1"/>
  <c r="U40" i="2" s="1"/>
  <c r="Z58" i="1" a="1"/>
  <c r="Z58" i="1" s="1"/>
  <c r="K22" i="2" s="1"/>
  <c r="Z39" i="1" a="1"/>
  <c r="Z39" i="1" s="1"/>
  <c r="K14" i="2" s="1"/>
  <c r="Z44" i="1" a="1"/>
  <c r="Z44" i="1" s="1"/>
  <c r="Y17" i="2" s="1"/>
  <c r="Z57" i="1" a="1"/>
  <c r="Z57" i="1" s="1"/>
  <c r="K21" i="2" s="1"/>
  <c r="Z56" i="1" a="1"/>
  <c r="Z56" i="1" s="1"/>
  <c r="K20" i="2" s="1"/>
  <c r="T4" i="1" a="1"/>
  <c r="T4" i="1" s="1"/>
  <c r="AI55" i="1" a="1"/>
  <c r="AI55" i="1" s="1"/>
  <c r="K42" i="2" s="1"/>
  <c r="Z42" i="1" a="1"/>
  <c r="Z42" i="1" s="1"/>
  <c r="Y12" i="2" s="1"/>
  <c r="AD37" i="1" a="1"/>
  <c r="AD37" i="1" s="1"/>
  <c r="AI3" i="1" s="1"/>
  <c r="S41" i="1" a="1"/>
  <c r="S41" i="1" s="1"/>
  <c r="Z35" i="1" a="1"/>
  <c r="Z35" i="1" s="1"/>
  <c r="Y6" i="2" s="1"/>
  <c r="Y40" i="2" s="1"/>
  <c r="U10" i="1" a="1"/>
  <c r="U10" i="1" s="1"/>
  <c r="U11" i="1" s="1"/>
  <c r="U12" i="1" s="1" a="1"/>
  <c r="U12" i="1" s="1"/>
  <c r="T16" i="1" a="1"/>
  <c r="T16" i="1" s="1"/>
  <c r="Z34" i="1" a="1"/>
  <c r="Z34" i="1" s="1"/>
  <c r="X10" i="2" s="1"/>
  <c r="R62" i="1" a="1"/>
  <c r="R62" i="1" s="1"/>
  <c r="Z55" i="1" s="1" a="1"/>
  <c r="Z55" i="1" s="1"/>
  <c r="U22" i="2" s="1"/>
  <c r="Z63" i="1" a="1"/>
  <c r="Z63" i="1" s="1"/>
  <c r="O46" i="1" a="1"/>
  <c r="O46" i="1" s="1"/>
  <c r="U16" i="1" a="1"/>
  <c r="U16" i="1" s="1"/>
  <c r="S39" i="1" a="1"/>
  <c r="S39" i="1" s="1"/>
  <c r="O39" i="1" a="1"/>
  <c r="O39" i="1" s="1"/>
  <c r="Z37" i="1" a="1"/>
  <c r="Z37" i="1" s="1"/>
  <c r="O45" i="1" a="1"/>
  <c r="O45" i="1" s="1"/>
  <c r="Z41" i="1" a="1"/>
  <c r="Z41" i="1" s="1"/>
  <c r="T45" i="1" l="1" a="1"/>
  <c r="T45" i="1" s="1"/>
  <c r="T42" i="1" a="1"/>
  <c r="T42" i="1" s="1"/>
  <c r="S44" i="1"/>
  <c r="AI4" i="1" a="1"/>
  <c r="AI4" i="1" s="1"/>
  <c r="AI11" i="1"/>
  <c r="AI12" i="1" s="1"/>
  <c r="AI14" i="1" s="1"/>
  <c r="AI15" i="1" s="1"/>
  <c r="AD49" i="1" s="1" a="1"/>
  <c r="AD49" i="1" s="1"/>
  <c r="Z19" i="2" s="1"/>
  <c r="AI18" i="1" a="1"/>
  <c r="AI18" i="1" s="1"/>
  <c r="AI19" i="1" s="1"/>
  <c r="AD44" i="1" s="1" a="1"/>
  <c r="AD44" i="1" s="1"/>
  <c r="Z17" i="2" s="1"/>
  <c r="R12" i="1" a="1"/>
  <c r="R12" i="1" s="1"/>
  <c r="R14" i="1" s="1"/>
  <c r="AE5" i="1" s="1"/>
  <c r="AD23" i="1" s="1"/>
  <c r="AD46" i="1" s="1" a="1"/>
  <c r="AD46" i="1" s="1"/>
  <c r="Z41" i="2" s="1"/>
  <c r="U14" i="1" a="1"/>
  <c r="U14" i="1" s="1"/>
  <c r="T18" i="1"/>
  <c r="AE3" i="1" s="1"/>
  <c r="AD21" i="1" s="1"/>
  <c r="AF21" i="1" s="1" a="1"/>
  <c r="AF21" i="1" s="1"/>
  <c r="AF7" i="1" a="1"/>
  <c r="AF7" i="1" s="1"/>
  <c r="AF10" i="1" a="1"/>
  <c r="AF10" i="1" s="1"/>
  <c r="AF9" i="1" a="1"/>
  <c r="AF9" i="1" s="1"/>
  <c r="AF8" i="1" a="1"/>
  <c r="AF8" i="1" s="1"/>
  <c r="AF5" i="1" a="1"/>
  <c r="AF5" i="1" s="1"/>
  <c r="AF6" i="1" a="1"/>
  <c r="AF6" i="1" s="1"/>
  <c r="AF3" i="1" a="1"/>
  <c r="AF3" i="1" s="1"/>
  <c r="AF4" i="1" a="1"/>
  <c r="AF4" i="1" s="1"/>
  <c r="R46" i="1" l="1" a="1"/>
  <c r="R46" i="1" s="1"/>
  <c r="Z54" i="1" s="1" a="1"/>
  <c r="Z54" i="1" s="1"/>
  <c r="Z59" i="1" s="1" a="1"/>
  <c r="Z59" i="1" s="1"/>
  <c r="C19" i="2" s="1"/>
  <c r="AD22" i="1"/>
  <c r="Z45" i="1" s="1" a="1"/>
  <c r="Z45" i="1" s="1"/>
  <c r="Z38" i="1" a="1"/>
  <c r="Z38" i="1" s="1"/>
  <c r="Y14" i="2" s="1"/>
  <c r="AK54" i="1" a="1"/>
  <c r="AK54" i="1" s="1"/>
  <c r="U41" i="2" s="1"/>
  <c r="AF23" i="1"/>
  <c r="AJ54" i="1" a="1"/>
  <c r="AJ54" i="1" s="1"/>
  <c r="Q41" i="2" s="1"/>
  <c r="AE10" i="1" a="1"/>
  <c r="AE10" i="1" s="1"/>
  <c r="AK37" i="1" a="1"/>
  <c r="AK37" i="1" s="1"/>
  <c r="U15" i="1"/>
  <c r="U17" i="1" s="1"/>
  <c r="U18" i="1" s="1" a="1"/>
  <c r="U18" i="1" s="1"/>
  <c r="U19" i="1" s="1"/>
  <c r="R15" i="1" s="1"/>
  <c r="U22" i="1"/>
  <c r="AK38" i="1" a="1"/>
  <c r="AK38" i="1" s="1"/>
  <c r="AE4" i="1"/>
  <c r="AL45" i="1" l="1" a="1"/>
  <c r="AL45" i="1" s="1"/>
  <c r="AE54" i="1" a="1"/>
  <c r="AE54" i="1" s="1"/>
  <c r="U21" i="2" s="1"/>
  <c r="AF24" i="1" a="1"/>
  <c r="AF24" i="1" s="1"/>
  <c r="Y24" i="2"/>
  <c r="Y42" i="2"/>
  <c r="AA66" i="1"/>
  <c r="AL38" i="1" a="1"/>
  <c r="AL38" i="1" s="1"/>
  <c r="U10" i="2" s="1"/>
  <c r="U21" i="1"/>
  <c r="R55" i="1" s="1"/>
  <c r="U20" i="1" a="1"/>
  <c r="U20" i="1" s="1"/>
  <c r="R48" i="1" s="1"/>
  <c r="R17" i="1"/>
  <c r="Q10" i="2"/>
  <c r="L12" i="2"/>
  <c r="AM38" i="1"/>
  <c r="AI54" i="1" s="1" a="1"/>
  <c r="AI54" i="1" s="1"/>
  <c r="K41" i="2" s="1"/>
  <c r="P8" i="2"/>
  <c r="T8" i="2"/>
  <c r="Q47" i="2" l="1"/>
  <c r="R18" i="1"/>
  <c r="R20" i="1" s="1"/>
  <c r="R13" i="1" a="1"/>
  <c r="R13" i="1" s="1"/>
  <c r="AK42" i="1" a="1"/>
  <c r="AK42" i="1" s="1"/>
  <c r="U17" i="2" s="1"/>
  <c r="R56" i="1"/>
  <c r="R60" i="1" a="1"/>
  <c r="R60" i="1" s="1"/>
  <c r="R36" i="1" l="1"/>
  <c r="S36" i="1"/>
  <c r="AI6" i="1"/>
  <c r="AI7" i="1" s="1"/>
  <c r="AI8" i="1" s="1" a="1"/>
  <c r="AI8" i="1" s="1"/>
  <c r="AD42" i="1" s="1" a="1"/>
  <c r="AD42" i="1" s="1"/>
  <c r="Z12" i="2" s="1"/>
  <c r="R34" i="1"/>
  <c r="R49" i="1"/>
  <c r="AD25" i="1" s="1"/>
  <c r="Z47" i="1" l="1" a="1"/>
  <c r="Z47" i="1" s="1"/>
  <c r="Y45" i="2" s="1"/>
  <c r="AD47" i="1" a="1"/>
  <c r="AD47" i="1" s="1"/>
  <c r="Z45" i="2" s="1"/>
  <c r="R35" i="1"/>
  <c r="AJ57" i="1" a="1"/>
  <c r="AJ57" i="1" s="1"/>
  <c r="Q45" i="2" s="1"/>
  <c r="AK57" i="1" a="1"/>
  <c r="AK57" i="1" s="1"/>
  <c r="U45" i="2" s="1"/>
  <c r="AI21" i="1"/>
  <c r="AD45" i="1" s="1" a="1"/>
  <c r="AD45" i="1" s="1"/>
  <c r="Z24" i="2" s="1"/>
  <c r="AI22" i="1"/>
  <c r="AD50" i="1" s="1" a="1"/>
  <c r="AD50" i="1" s="1"/>
  <c r="Z42" i="2" s="1"/>
  <c r="AL40" i="1" a="1"/>
  <c r="AL40" i="1" s="1"/>
  <c r="U12" i="2" s="1"/>
  <c r="AD29" i="1"/>
  <c r="AD30" i="1" s="1"/>
  <c r="AD31" i="1" s="1"/>
  <c r="R37" i="1" a="1"/>
  <c r="R37" i="1" s="1"/>
  <c r="Z48" i="1" l="1" a="1"/>
  <c r="Z48" i="1" s="1"/>
  <c r="Y44" i="2" s="1"/>
  <c r="AD48" i="1" a="1"/>
  <c r="AD48" i="1" s="1"/>
  <c r="Z44" i="2" s="1"/>
  <c r="X47" i="2"/>
  <c r="R44" i="1" a="1"/>
  <c r="R44" i="1" s="1"/>
  <c r="AJ56" i="1" a="1"/>
  <c r="AJ56" i="1" s="1"/>
  <c r="Q44" i="2" s="1"/>
  <c r="AK56" i="1" a="1"/>
  <c r="AK56" i="1" s="1"/>
  <c r="U44" i="2" s="1"/>
  <c r="AK47" i="1" l="1" a="1"/>
  <c r="AK47" i="1" s="1"/>
  <c r="Q24" i="2" s="1"/>
  <c r="AK39" i="1" a="1"/>
  <c r="AK39" i="1" s="1"/>
  <c r="S64" i="1"/>
  <c r="AD26" i="1"/>
  <c r="AD27" i="1" s="1"/>
  <c r="R45" i="1" a="1"/>
  <c r="R45" i="1" s="1"/>
  <c r="Z53" i="1" s="1" a="1"/>
  <c r="Z53" i="1" s="1"/>
  <c r="U20" i="2" s="1"/>
  <c r="AD24" i="1"/>
  <c r="AJ55" i="1" s="1" a="1"/>
  <c r="AJ55" i="1" s="1"/>
  <c r="Q42" i="2" s="1"/>
  <c r="AD28" i="1" l="1"/>
  <c r="AL44" i="1" a="1"/>
  <c r="AL44" i="1" s="1"/>
  <c r="S46" i="1"/>
  <c r="T46" i="1" s="1"/>
  <c r="AD32" i="1"/>
  <c r="AK55" i="1" s="1" a="1"/>
  <c r="AK55" i="1" s="1"/>
  <c r="U42" i="2" s="1"/>
  <c r="R63" i="1"/>
  <c r="U19" i="2"/>
  <c r="Q19" i="2"/>
  <c r="AL47" i="1" l="1" a="1"/>
  <c r="AL47" i="1" s="1"/>
  <c r="U24" i="2" s="1"/>
  <c r="AD65" i="1" a="1"/>
  <c r="AD65" i="1" s="1"/>
  <c r="AH66" i="1" l="1"/>
  <c r="AA68" i="1"/>
  <c r="AH65" i="1" s="1" a="1"/>
  <c r="AH65" i="1" s="1"/>
  <c r="P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HG</author>
  </authors>
  <commentList>
    <comment ref="E10" authorId="0" shapeId="0" xr:uid="{D7EC2A45-6A61-47D5-9FF4-F2F4F16A45F2}">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R10" authorId="0" shapeId="0" xr:uid="{9DC2A66E-39BE-447D-BF36-985E4C66521E}">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E11" authorId="0" shapeId="0" xr:uid="{DE0BC9CA-88EC-41C8-ACF3-FC8002402058}">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R11" authorId="0" shapeId="0" xr:uid="{C0821E5E-B721-4C82-9B49-2D146D51124A}">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E12" authorId="0" shapeId="0" xr:uid="{868BE990-6C6C-4DBD-A30C-7A13F4D327E4}">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R12" authorId="0" shapeId="0" xr:uid="{B2D7B5A0-5032-4B53-B09E-1C084D3F1A2E}">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E14" authorId="0" shapeId="0" xr:uid="{F381F7B8-A076-4151-A868-AADA47EFD434}">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R14" authorId="0" shapeId="0" xr:uid="{D884799E-4EA0-4CD8-98A2-0BF66C7853F5}">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E15" authorId="0" shapeId="0" xr:uid="{8300247C-FB76-4F98-AAE4-A7096767673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R15" authorId="0" shapeId="0" xr:uid="{5FD3245C-9298-4C96-AEE7-4C7817FBFDB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E22" authorId="0" shapeId="0" xr:uid="{C2C96FD2-A752-4689-9DE7-74166B275D3F}">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R22" authorId="0" shapeId="0" xr:uid="{98A4B834-BF10-4195-8CCC-663A758089E1}">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E23" authorId="0" shapeId="0" xr:uid="{87970198-4B60-4613-9F8D-49F04FE4D829}">
      <text>
        <r>
          <rPr>
            <b/>
            <sz val="9"/>
            <color indexed="81"/>
            <rFont val="Tahoma"/>
            <family val="2"/>
          </rPr>
          <t>HG:</t>
        </r>
        <r>
          <rPr>
            <sz val="9"/>
            <color indexed="81"/>
            <rFont val="Tahoma"/>
            <family val="2"/>
          </rPr>
          <t xml:space="preserve">
Het vakantiegeld 8 %, tenzij een hoger percentage overeengekomen is
 </t>
        </r>
      </text>
    </comment>
    <comment ref="R23" authorId="0" shapeId="0" xr:uid="{12D2ADA6-973E-477E-96B7-8AB88EDED7A0}">
      <text>
        <r>
          <rPr>
            <b/>
            <sz val="9"/>
            <color indexed="81"/>
            <rFont val="Tahoma"/>
            <family val="2"/>
          </rPr>
          <t>HG:</t>
        </r>
        <r>
          <rPr>
            <sz val="9"/>
            <color indexed="81"/>
            <rFont val="Tahoma"/>
            <family val="2"/>
          </rPr>
          <t xml:space="preserve">
Het vakantiegeld 8 %, tenzij een hoger percentage overeengekomen is
 </t>
        </r>
      </text>
    </comment>
    <comment ref="E24" authorId="0" shapeId="0" xr:uid="{335F526A-C752-4211-830F-F7EDA6C01724}">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R24" authorId="0" shapeId="0" xr:uid="{546D2FE0-3250-46DE-8AD7-E6B3B941F401}">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E25" authorId="0" shapeId="0" xr:uid="{DB85B55C-A809-4C8F-B1B5-B304DF9A2D95}">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R25" authorId="0" shapeId="0" xr:uid="{1AD447BA-C407-41A3-B6BD-4797A50AAA31}">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E26" authorId="0" shapeId="0" xr:uid="{2ABB2A30-2976-4876-AA8D-88500CD001F0}">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R26" authorId="0" shapeId="0" xr:uid="{4185BAA6-D4D5-4D8C-B7AF-559F0A1CA3C1}">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E29" authorId="0" shapeId="0" xr:uid="{74209BAF-FE0F-4BD1-98DD-28D970B01D1B}">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R29" authorId="0" shapeId="0" xr:uid="{C54D818A-FE00-401E-B337-68F7DC5C370E}">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E30" authorId="0" shapeId="0" xr:uid="{C676B889-9E3A-4ABF-AC92-C959F99244AC}">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R30" authorId="0" shapeId="0" xr:uid="{875ECE04-59F2-4DE7-9932-7EE3CD87B443}">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E31" authorId="0" shapeId="0" xr:uid="{7CA7E92F-C956-47B3-9829-F153500DBE54}">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R31" authorId="0" shapeId="0" xr:uid="{B2AAE88D-0277-419F-B2F5-F4180C7A3A1B}">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E36" authorId="0" shapeId="0" xr:uid="{DCC652F6-9818-476A-A80A-62B29EE88785}">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R36" authorId="0" shapeId="0" xr:uid="{AD62CB4F-9FE3-4FA4-BBF3-7EB802CC0916}">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S40" authorId="0" shapeId="0" xr:uid="{8DFA2E8C-156A-4030-9CD4-1C2D568512E0}">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F41" authorId="0" shapeId="0" xr:uid="{F8140D43-AF48-40B1-8FBD-AFC4F875C5B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1" authorId="0" shapeId="0" xr:uid="{0431584A-2CE2-4DC7-BCAA-1B5A8BADBFC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F42" authorId="0" shapeId="0" xr:uid="{02F8C83E-A6A1-4A1A-BC43-50E0430BD1E8}">
      <text>
        <r>
          <rPr>
            <b/>
            <sz val="9"/>
            <color indexed="81"/>
            <rFont val="Tahoma"/>
            <family val="2"/>
          </rPr>
          <t>HG:</t>
        </r>
        <r>
          <rPr>
            <sz val="9"/>
            <color indexed="81"/>
            <rFont val="Tahoma"/>
            <family val="2"/>
          </rPr>
          <t xml:space="preserve">
Het gaat hier om een enkele andere ontbidningsgrond disfunctioneren, verstoorde verhouding of verwijtbaar handelen. Een meer dan goede kans betekent dat alles echt goed is doorlopen en vastgelegd. Dat doet zich niet snel voor, zodat werkgevers het vooral moeten hebben van de combinatiegrond. </t>
        </r>
      </text>
    </comment>
    <comment ref="S42" authorId="0" shapeId="0" xr:uid="{DFF79DCF-D40A-426C-B45E-FBCA62508F7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3" authorId="0" shapeId="0" xr:uid="{D0026F86-D3B7-4BE2-8576-37D788E33BF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44" authorId="0" shapeId="0" xr:uid="{B60FBBF5-9C78-4A03-AC7F-142C71351BA6}">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R44" authorId="0" shapeId="0" xr:uid="{049A9495-938C-41F7-BB2E-95FD0BC11E6D}">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45" authorId="0" shapeId="0" xr:uid="{5402FFCC-7E6B-4754-8629-FD752C412590}">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R45" authorId="0" shapeId="0" xr:uid="{1461D34C-9E39-41B0-A6A0-286E08689735}">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E46" authorId="0" shapeId="0" xr:uid="{98CA2B55-3CFF-4823-BC64-14320ECAB779}">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R46" authorId="0" shapeId="0" xr:uid="{4EA0F666-CB6B-48D0-B832-32A84EB277D2}">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48" authorId="0" shapeId="0" xr:uid="{BBB83A29-DF83-4F49-8447-2AA86EE67B35}">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R48" authorId="0" shapeId="0" xr:uid="{5641B9A8-D896-4789-B0FE-642099424088}">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E49" authorId="0" shapeId="0" xr:uid="{B40F3CCD-6B83-45D8-BCD6-1AEC26E691F7}">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R49" authorId="0" shapeId="0" xr:uid="{ABD15F7B-A57A-4C72-9D44-48B77CC5EAAE}">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E51" authorId="0" shapeId="0" xr:uid="{25807FA4-2F29-4828-9874-3B8E77540CB2}">
      <text>
        <r>
          <rPr>
            <b/>
            <sz val="9"/>
            <color indexed="81"/>
            <rFont val="Tahoma"/>
            <family val="2"/>
          </rPr>
          <t>HG:</t>
        </r>
        <r>
          <rPr>
            <sz val="9"/>
            <color indexed="81"/>
            <rFont val="Tahoma"/>
            <family val="2"/>
          </rPr>
          <t xml:space="preserve">
Bij deze uren gaat het om alle verlofuren die de werknemer heeft opgebouwd en niet opgenomen
</t>
        </r>
      </text>
    </comment>
    <comment ref="R51" authorId="0" shapeId="0" xr:uid="{4D9319A3-071D-4844-929C-BAD5FA1D8AA3}">
      <text>
        <r>
          <rPr>
            <b/>
            <sz val="9"/>
            <color indexed="81"/>
            <rFont val="Tahoma"/>
            <family val="2"/>
          </rPr>
          <t>HG:</t>
        </r>
        <r>
          <rPr>
            <sz val="9"/>
            <color indexed="81"/>
            <rFont val="Tahoma"/>
            <family val="2"/>
          </rPr>
          <t xml:space="preserve">
Bij deze uren gaat het om alle verlofuren die de werknemer heeft opgebouwd en niet opgenomen
</t>
        </r>
      </text>
    </comment>
    <comment ref="E52" authorId="0" shapeId="0" xr:uid="{42B8883C-B1A4-46CC-A5BA-E3FC2512BEA7}">
      <text>
        <r>
          <rPr>
            <b/>
            <sz val="9"/>
            <color indexed="81"/>
            <rFont val="Tahoma"/>
            <family val="2"/>
          </rPr>
          <t>HG:</t>
        </r>
        <r>
          <rPr>
            <sz val="9"/>
            <color indexed="81"/>
            <rFont val="Tahoma"/>
            <family val="2"/>
          </rPr>
          <t xml:space="preserve">
Dit is de kostprijs van de verlofrechten als deze bij einde dienstverband uitbetaald worden.</t>
        </r>
      </text>
    </comment>
    <comment ref="R52" authorId="0" shapeId="0" xr:uid="{D7488E10-12AA-4059-BEE9-9F553C7D0BF2}">
      <text>
        <r>
          <rPr>
            <b/>
            <sz val="9"/>
            <color indexed="81"/>
            <rFont val="Tahoma"/>
            <family val="2"/>
          </rPr>
          <t>HG:</t>
        </r>
        <r>
          <rPr>
            <sz val="9"/>
            <color indexed="81"/>
            <rFont val="Tahoma"/>
            <family val="2"/>
          </rPr>
          <t xml:space="preserve">
Dit is de kostprijs van de verlofrechten als deze bij einde dienstverband uitbetaald worden.</t>
        </r>
      </text>
    </comment>
    <comment ref="E53" authorId="0" shapeId="0" xr:uid="{908679DF-DAB1-4864-BC6F-03F7CDC23F3A}">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R53" authorId="0" shapeId="0" xr:uid="{496CBC6A-E5A5-4B92-B715-829CDF4F501E}">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E54" authorId="0" shapeId="0" xr:uid="{4F4C842E-CB8B-46E7-B76F-0AA45B03FC06}">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R54" authorId="0" shapeId="0" xr:uid="{3E508335-C7E3-4816-BEEB-C24A78B1D308}">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E55" authorId="0" shapeId="0" xr:uid="{C01D5513-61C7-45CF-ABCF-49D27E30A08D}">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R55" authorId="0" shapeId="0" xr:uid="{D1627EE8-367A-42A2-A43E-8B9B5D7C7FA8}">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E56" authorId="0" shapeId="0" xr:uid="{D1C43738-2145-4784-97D2-9E9094DFDA8F}">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R56" authorId="0" shapeId="0" xr:uid="{CE242C85-DD60-4A20-A7C2-854514C1CF54}">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E58" authorId="0" shapeId="0" xr:uid="{1F775E79-6989-4064-B756-5E926C15DE6E}">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R58" authorId="0" shapeId="0" xr:uid="{FCB304F1-B3E0-40B7-919A-81EDE42E76E1}">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E60" authorId="0" shapeId="0" xr:uid="{BB3B4E5F-DB66-46E9-AA23-4220528C3737}">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R60" authorId="0" shapeId="0" xr:uid="{00E782E6-5731-4B1F-AD92-1EC9A1B4284E}">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E62" authorId="0" shapeId="0" xr:uid="{8441BB9A-A876-4F77-8D0C-1D1BDDDA820F}">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R62" authorId="0" shapeId="0" xr:uid="{4388F4CF-77CA-45CF-9BEB-2BBD304A8C31}">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E63" authorId="0" shapeId="0" xr:uid="{9FE39C72-1982-49CA-A905-D6CA1B5F331C}">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 ref="R63" authorId="0" shapeId="0" xr:uid="{CBC8B5D8-C610-43E3-9920-10C58ADE29DD}">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<sst xmlns="http://schemas.openxmlformats.org/spreadsheetml/2006/main" count="2993" uniqueCount="890">
  <si>
    <t>Datum in dienst</t>
  </si>
  <si>
    <t>Dertiende maand</t>
  </si>
  <si>
    <t xml:space="preserve">Kosten auto van de zaak </t>
  </si>
  <si>
    <t>Vaste eindejaarsuitkering</t>
  </si>
  <si>
    <t>Diensttijd en opzegtermijn</t>
  </si>
  <si>
    <t>Vaste arbeidsvoorwaarden</t>
  </si>
  <si>
    <t>Variabele arbeidsvoorwaarden</t>
  </si>
  <si>
    <t>uren</t>
  </si>
  <si>
    <t>Factor transitievergoeding</t>
  </si>
  <si>
    <t>Transitievergoeding</t>
  </si>
  <si>
    <t>Juridische kosten ontslagprocedure</t>
  </si>
  <si>
    <t>Gemiddeld inkomen per maand</t>
  </si>
  <si>
    <t>Vaste toeslagen per maand</t>
  </si>
  <si>
    <t>Vakantiegeld</t>
  </si>
  <si>
    <t>Extra tijd door procederen</t>
  </si>
  <si>
    <t>Diensttijd bij overleg over regeling</t>
  </si>
  <si>
    <t xml:space="preserve">Opzegtermijn </t>
  </si>
  <si>
    <t>maand(en)</t>
  </si>
  <si>
    <t>dagen</t>
  </si>
  <si>
    <t xml:space="preserve">Ontslagsituatie: </t>
  </si>
  <si>
    <t>Einde via beeindigingsovereenkomst of UWV-procedure</t>
  </si>
  <si>
    <t>Einde via beeindigingsovereenkomst of kantonrechter</t>
  </si>
  <si>
    <t>Hoogte loon per maand</t>
  </si>
  <si>
    <t>Datum uit dienst in overleg</t>
  </si>
  <si>
    <t>Einddatum in geval van procedure</t>
  </si>
  <si>
    <t>Saldo vakantie-uren op dit moment</t>
  </si>
  <si>
    <t>Waarde van de vakantie-uren die nu zijn opgebouwd</t>
  </si>
  <si>
    <t>Waarde van de nog op te bouwen vakantie-uren</t>
  </si>
  <si>
    <t>Afkoopwaarde van alle vakantie-uren</t>
  </si>
  <si>
    <t>Overeengekomen uren werk per week</t>
  </si>
  <si>
    <t>Opbouw vakantiedagen per jaar bij fulltime werken</t>
  </si>
  <si>
    <t>Extra loonkosten door latere datum uit dienst</t>
  </si>
  <si>
    <t>Kosten vakantierechten</t>
  </si>
  <si>
    <t>Extra loonkosten</t>
  </si>
  <si>
    <t xml:space="preserve">Berekening transitievergoeding </t>
  </si>
  <si>
    <t>Maand(en) langer in dienst door procedure</t>
  </si>
  <si>
    <t>Ontslagkosten werkgever in geval van procedure</t>
  </si>
  <si>
    <t>Telefoonnummer</t>
  </si>
  <si>
    <t>Juridische kosten</t>
  </si>
  <si>
    <t xml:space="preserve">Diensttijd in jaren op moment beschikking UWV of kantonrechter </t>
  </si>
  <si>
    <t>Opzegtermijn in maanden op moment beschikking UWV of kantonrechter</t>
  </si>
  <si>
    <t>Opzegtermijn in dagen</t>
  </si>
  <si>
    <t>Aantal dagen proceduretijd (komt in mindering op opzegtermijn)</t>
  </si>
  <si>
    <t>Dagen opzegtermijn min proceduretijd</t>
  </si>
  <si>
    <t>Dagen opzegtermijn met toepassing ondergrens 31</t>
  </si>
  <si>
    <t>Einddatum na toepassen proceduretijd voor afronding opzeggen tegen laatste dag maand</t>
  </si>
  <si>
    <t>Aantal maand(en) later uit dienst</t>
  </si>
  <si>
    <t>Tijd in weken tussen datum overleg en einddatum (ivm berekening opbouw vakantiedagen)</t>
  </si>
  <si>
    <t>Vakantiegeld omgerekend per maand</t>
  </si>
  <si>
    <t>Dertiende maand omgerekend per maand</t>
  </si>
  <si>
    <t>Vaste eindajaarsuitkering omgerekend per maand</t>
  </si>
  <si>
    <t>Variabele toeslag omgerekend per maand</t>
  </si>
  <si>
    <t>Gemiddelde overwerk omgerekend per maand</t>
  </si>
  <si>
    <t>Gemiddelde bonus omgerekend per maand</t>
  </si>
  <si>
    <t>Het uurloon door omrekenen gemiddeld inkomen per maand (afhankelijk van uren per week)</t>
  </si>
  <si>
    <t>Achtergrond formulier 1</t>
  </si>
  <si>
    <t>Einde tijdelijk contract of proeftijd ontslag</t>
  </si>
  <si>
    <t>Button</t>
  </si>
  <si>
    <t>Maak een keuze</t>
  </si>
  <si>
    <t>Ontslagvergoedingen</t>
  </si>
  <si>
    <t>N.v.t.</t>
  </si>
  <si>
    <t>Kansloos</t>
  </si>
  <si>
    <t>Kleine kans</t>
  </si>
  <si>
    <t>Goede kans</t>
  </si>
  <si>
    <t>Voldoende kans</t>
  </si>
  <si>
    <t>Kan niet missen</t>
  </si>
  <si>
    <t>Vrijwel niet te missen</t>
  </si>
  <si>
    <t>Twijfelachtige kans</t>
  </si>
  <si>
    <t>De keuze voor deze button brengt de gebruiker naar formulier 2 (zie hieronder)</t>
  </si>
  <si>
    <t>Variabele toeslag laatste 36 maanden</t>
  </si>
  <si>
    <t>Overwerk laatste 36 maanden</t>
  </si>
  <si>
    <t>Bonus over de laatste 36 maanden</t>
  </si>
  <si>
    <t>Ontslagkosten werkgever als partijen er niet onderling uitkomen (de ontslagwaarde)</t>
  </si>
  <si>
    <t>Formulier A</t>
  </si>
  <si>
    <t>Bedrijfsnaam</t>
  </si>
  <si>
    <t>Heeft uw onderneming een (andere) handelsnaam?</t>
  </si>
  <si>
    <t>Ja</t>
  </si>
  <si>
    <t>Is er een cao van toepassing?</t>
  </si>
  <si>
    <t>Land</t>
  </si>
  <si>
    <t>CAO AC</t>
  </si>
  <si>
    <t>Nederland</t>
  </si>
  <si>
    <t>Postcode</t>
  </si>
  <si>
    <t>Huisnummer/Postbusnummer</t>
  </si>
  <si>
    <t>Toevoeging</t>
  </si>
  <si>
    <t>Wil de werkgever het adres van de (hoofd)vestiging niet gebruiken voor deze ontslagaanvraag? Vul dan het correspondentieadres van de werkgever in. Dit is het adres waar wij de post naartoe sturen. Heeft de werkgever een gemachtigde? Dan sturen wij de post naar de gemachtigde. De beslissing sturen wij naar de werkgever en naar de gemachtigde.</t>
  </si>
  <si>
    <t>Is het correspondentieadres hetzelfde als het adres van de (hoofd)vestiging?</t>
  </si>
  <si>
    <t>Gegevens contactpersoon van de onderneming</t>
  </si>
  <si>
    <t>Voorletters en achternaam contactpersoon</t>
  </si>
  <si>
    <t>Functie</t>
  </si>
  <si>
    <t>Telefoon</t>
  </si>
  <si>
    <t>Website</t>
  </si>
  <si>
    <t>KvK-nummer</t>
  </si>
  <si>
    <t>RSIN</t>
  </si>
  <si>
    <t>RSIN betekent: Rechtspersonen Samenwerkingsverbanden Informatie Nummer (voorheen fiscaal nummer). Dit nummer staat op het uittreksel dat u van de Kamer van Koophandel heeft ontvangen. Vaak kan het RSIN van de werkgever ook worden afgeleid van het loonheffingennummer van de werkgever. Het RSIN is dan hetzelfde als het loonheffingennummer, maar dan zonder de letter L en de 2 cijfers daarachter.</t>
  </si>
  <si>
    <t>Nummer</t>
  </si>
  <si>
    <t>Nee</t>
  </si>
  <si>
    <t>Voorletters en achternaam</t>
  </si>
  <si>
    <t>Geslacht</t>
  </si>
  <si>
    <t>Geboortedatum</t>
  </si>
  <si>
    <t>Burgerservicenummer</t>
  </si>
  <si>
    <t>Huisnummer</t>
  </si>
  <si>
    <t>Straat</t>
  </si>
  <si>
    <t>Plaats</t>
  </si>
  <si>
    <t xml:space="preserve">Is het correspondentieadres van de werknemer hetzelfde als woonplaats. </t>
  </si>
  <si>
    <t>Heeft de werkgever meer dan één bedrijfsvestiging?</t>
  </si>
  <si>
    <t>Zeist</t>
  </si>
  <si>
    <t>Formulier B</t>
  </si>
  <si>
    <t>Formulier C</t>
  </si>
  <si>
    <t>Achternaam</t>
  </si>
  <si>
    <t>Roepnaam</t>
  </si>
  <si>
    <t>Afdeling</t>
  </si>
  <si>
    <t>Uit dienst</t>
  </si>
  <si>
    <t>Bepaalde tijd</t>
  </si>
  <si>
    <t>FTE-%</t>
  </si>
  <si>
    <t>Versteeg</t>
  </si>
  <si>
    <t xml:space="preserve">P. </t>
  </si>
  <si>
    <t>M/V</t>
  </si>
  <si>
    <t>M</t>
  </si>
  <si>
    <t>Onbepaalde tijd</t>
  </si>
  <si>
    <t>Montage</t>
  </si>
  <si>
    <t>Vestigingsmanager</t>
  </si>
  <si>
    <t>Werkvoorbereider</t>
  </si>
  <si>
    <t>1e monteur</t>
  </si>
  <si>
    <t>Zelfstandig monteur</t>
  </si>
  <si>
    <t>Service monteur</t>
  </si>
  <si>
    <t>Chef monteur</t>
  </si>
  <si>
    <t>Oosterhuis</t>
  </si>
  <si>
    <t xml:space="preserve">J.M. </t>
  </si>
  <si>
    <t>Clok</t>
  </si>
  <si>
    <t>V</t>
  </si>
  <si>
    <t>Boonstra</t>
  </si>
  <si>
    <t xml:space="preserve">B. </t>
  </si>
  <si>
    <t>Kraak</t>
  </si>
  <si>
    <t>Z.C.</t>
  </si>
  <si>
    <t>Knip</t>
  </si>
  <si>
    <t xml:space="preserve">C. </t>
  </si>
  <si>
    <t>Jaren</t>
  </si>
  <si>
    <t>Lak</t>
  </si>
  <si>
    <t xml:space="preserve">Z. </t>
  </si>
  <si>
    <t>Terpen</t>
  </si>
  <si>
    <t>Vermeer</t>
  </si>
  <si>
    <t xml:space="preserve">S.K. </t>
  </si>
  <si>
    <t>Klappers</t>
  </si>
  <si>
    <t xml:space="preserve">K. </t>
  </si>
  <si>
    <t>Vegter</t>
  </si>
  <si>
    <t>M.L.</t>
  </si>
  <si>
    <t>Scheepsvrouw</t>
  </si>
  <si>
    <t>Cornelissen</t>
  </si>
  <si>
    <t xml:space="preserve">F. </t>
  </si>
  <si>
    <t>Pieters</t>
  </si>
  <si>
    <t>Ankers</t>
  </si>
  <si>
    <t>Marijnsen</t>
  </si>
  <si>
    <t xml:space="preserve">K.H. </t>
  </si>
  <si>
    <t>Egberts</t>
  </si>
  <si>
    <t xml:space="preserve">U. </t>
  </si>
  <si>
    <t>Isaacs</t>
  </si>
  <si>
    <t xml:space="preserve">K.F. </t>
  </si>
  <si>
    <t>Eeuwsen</t>
  </si>
  <si>
    <t>Roelofs</t>
  </si>
  <si>
    <t>K.</t>
  </si>
  <si>
    <t>Zuid</t>
  </si>
  <si>
    <t>Visser</t>
  </si>
  <si>
    <t>Kip</t>
  </si>
  <si>
    <t>N.O.</t>
  </si>
  <si>
    <t>Hoop</t>
  </si>
  <si>
    <t>Beurs</t>
  </si>
  <si>
    <t>Schepper</t>
  </si>
  <si>
    <t>Merten</t>
  </si>
  <si>
    <t xml:space="preserve">R. </t>
  </si>
  <si>
    <t>Lammers</t>
  </si>
  <si>
    <t xml:space="preserve">B.L. </t>
  </si>
  <si>
    <t>Veldhuis</t>
  </si>
  <si>
    <t xml:space="preserve">T. </t>
  </si>
  <si>
    <t>Opeer</t>
  </si>
  <si>
    <t xml:space="preserve">G.C.B. </t>
  </si>
  <si>
    <t>Sieren</t>
  </si>
  <si>
    <t>Nafen</t>
  </si>
  <si>
    <t>Thomas</t>
  </si>
  <si>
    <t xml:space="preserve">L.K. </t>
  </si>
  <si>
    <t>Beuk</t>
  </si>
  <si>
    <t>Jasper</t>
  </si>
  <si>
    <t xml:space="preserve">I. </t>
  </si>
  <si>
    <t>Klearen</t>
  </si>
  <si>
    <t xml:space="preserve">H.G. </t>
  </si>
  <si>
    <t>Rijkers</t>
  </si>
  <si>
    <t>Hoogmoed</t>
  </si>
  <si>
    <t>Clessen</t>
  </si>
  <si>
    <t xml:space="preserve">G.K. </t>
  </si>
  <si>
    <t>Hofstra</t>
  </si>
  <si>
    <t xml:space="preserve">B.K. </t>
  </si>
  <si>
    <t>Hoekstra</t>
  </si>
  <si>
    <t xml:space="preserve">E. </t>
  </si>
  <si>
    <t>Gegevens werknemer</t>
  </si>
  <si>
    <t>35-44</t>
  </si>
  <si>
    <t>Peildatum</t>
  </si>
  <si>
    <t>Factor</t>
  </si>
  <si>
    <t xml:space="preserve"> </t>
  </si>
  <si>
    <t>Selecteer de werknemer</t>
  </si>
  <si>
    <t>Woonplaats</t>
  </si>
  <si>
    <t>Amsterdam</t>
  </si>
  <si>
    <t>Haarlem</t>
  </si>
  <si>
    <t>Hilversum</t>
  </si>
  <si>
    <t>Amstelveen</t>
  </si>
  <si>
    <t>Purmerend</t>
  </si>
  <si>
    <t>Weteringslaan</t>
  </si>
  <si>
    <t>Vanloonstraat</t>
  </si>
  <si>
    <t>Thomasenstraat</t>
  </si>
  <si>
    <t>Vandergalaan</t>
  </si>
  <si>
    <t>Spelingerweg</t>
  </si>
  <si>
    <t>b</t>
  </si>
  <si>
    <t>Email</t>
  </si>
  <si>
    <t>Ton@transit-dc.nl</t>
  </si>
  <si>
    <t>0622328983</t>
  </si>
  <si>
    <t>Vakantiegeld %</t>
  </si>
  <si>
    <t>Overwerk</t>
  </si>
  <si>
    <t>Loon per maand</t>
  </si>
  <si>
    <t>Toeslagen per maand</t>
  </si>
  <si>
    <t>Bonus</t>
  </si>
  <si>
    <t>Eindejaarsuitkering</t>
  </si>
  <si>
    <t>Vakantie-uren</t>
  </si>
  <si>
    <t>Opbouw vakantiedagen bij fulltime werken</t>
  </si>
  <si>
    <t>Kosten (lease)auto</t>
  </si>
  <si>
    <t>Onkostenvergoedingen</t>
  </si>
  <si>
    <t>Kosten auto / vervoer</t>
  </si>
  <si>
    <t>Opzegverbod</t>
  </si>
  <si>
    <t>Keuze</t>
  </si>
  <si>
    <t>Afwezigheid</t>
  </si>
  <si>
    <t>Ziek</t>
  </si>
  <si>
    <t>Blijvend Ziek</t>
  </si>
  <si>
    <t>Handicap</t>
  </si>
  <si>
    <t>Ander opzegverbod</t>
  </si>
  <si>
    <t>Fulltime</t>
  </si>
  <si>
    <t>Datum overleg over regeling / peildatum</t>
  </si>
  <si>
    <t>Datum overleg regeling</t>
  </si>
  <si>
    <t>Opzegtermijn</t>
  </si>
  <si>
    <t>Andere opzegt</t>
  </si>
  <si>
    <t>Extra kosten voor de auto vervoer</t>
  </si>
  <si>
    <t>Loonkosten e.d. later uit dienst</t>
  </si>
  <si>
    <t>Opgenomen</t>
  </si>
  <si>
    <t>Uitbetalen vakantie-uren (saldo-nu)</t>
  </si>
  <si>
    <t>Uitbetalen vakantie-uren (nog)</t>
  </si>
  <si>
    <t>45-54</t>
  </si>
  <si>
    <t>55 &gt;</t>
  </si>
  <si>
    <t>Werknemers</t>
  </si>
  <si>
    <t>extra maandsalaris(en)</t>
  </si>
  <si>
    <t>verhoging transitievergoeding</t>
  </si>
  <si>
    <t>Tonet</t>
  </si>
  <si>
    <t>25-34</t>
  </si>
  <si>
    <t>&lt; 25</t>
  </si>
  <si>
    <t>AOW</t>
  </si>
  <si>
    <t xml:space="preserve">  besparing loonkosten</t>
  </si>
  <si>
    <t>Factor werkgeverslasten</t>
  </si>
  <si>
    <t xml:space="preserve">  totaal loonkosten per maand</t>
  </si>
  <si>
    <t xml:space="preserve">  besparing loonkosten per maand</t>
  </si>
  <si>
    <t xml:space="preserve">  totaal loonkosten per jaar</t>
  </si>
  <si>
    <t xml:space="preserve">  besparing loonkosten per jaar</t>
  </si>
  <si>
    <t>Ontslagname</t>
  </si>
  <si>
    <t>Tijdelijk</t>
  </si>
  <si>
    <t>Reden uit dienst</t>
  </si>
  <si>
    <t>BSN</t>
  </si>
  <si>
    <t xml:space="preserve">Toolbox </t>
  </si>
  <si>
    <t xml:space="preserve"> -</t>
  </si>
  <si>
    <t>Ontslag op staande voet</t>
  </si>
  <si>
    <t>UWV-ontslag</t>
  </si>
  <si>
    <t>Kans ontslag op staande voet</t>
  </si>
  <si>
    <t>UWV ontslag &gt;</t>
  </si>
  <si>
    <t>Ontbinding enkele grond</t>
  </si>
  <si>
    <t>Ontbinding combinatie gronden</t>
  </si>
  <si>
    <t>Ontbinding verwijtbaar</t>
  </si>
  <si>
    <t>Hoogste</t>
  </si>
  <si>
    <t>Ernstig WG</t>
  </si>
  <si>
    <t>Kosten ontslag</t>
  </si>
  <si>
    <t>Datum uit dienst</t>
  </si>
  <si>
    <t>Loonkosten per jaar</t>
  </si>
  <si>
    <t>Ontslagkosten zonder extra vergoedingen en juridische kosten</t>
  </si>
  <si>
    <t>Opzegmaanden</t>
  </si>
  <si>
    <t>Bruto loon</t>
  </si>
  <si>
    <t>Brutoloon per jaar</t>
  </si>
  <si>
    <t>Brutoloon per dag</t>
  </si>
  <si>
    <t>bepalen 0</t>
  </si>
  <si>
    <t>Loonkosten boven standaard regeling</t>
  </si>
  <si>
    <t>Loonkosten tot standaard regeling</t>
  </si>
  <si>
    <t>Loonkosten totaal (nu tot uit dienst)</t>
  </si>
  <si>
    <t>Loonkosten boven + transitievergoeding</t>
  </si>
  <si>
    <t>Verhoging sociale lasten</t>
  </si>
  <si>
    <t>Loonkosten totaal + transitievergoeding</t>
  </si>
  <si>
    <t>Loonkosten totaal + tran + vakan</t>
  </si>
  <si>
    <t>Als nul</t>
  </si>
  <si>
    <t>Negatief</t>
  </si>
  <si>
    <t>Schadeloosstelling ontslag op staande voet</t>
  </si>
  <si>
    <t>Schadeloosstelling + vakantierechten</t>
  </si>
  <si>
    <t>Loonkosten boven + Tr + vak + vergoed + adv</t>
  </si>
  <si>
    <t>Loonkosten e.d.</t>
  </si>
  <si>
    <t>Verrekenen</t>
  </si>
  <si>
    <t>Schadeloosstelling werkgever</t>
  </si>
  <si>
    <t>Gegevens bij keuze voor Ontslag op staande voet</t>
  </si>
  <si>
    <t>Uitbetalen vakantieuren nog</t>
  </si>
  <si>
    <t>Uitbetalen vakantieuren nu</t>
  </si>
  <si>
    <t>Schadeloosstelling bedrag</t>
  </si>
  <si>
    <t>Loonkosten tot aan uit dienst regeling</t>
  </si>
  <si>
    <t>Kosten per jaar werknemer</t>
  </si>
  <si>
    <t>Kop Ontslag op staande voet</t>
  </si>
  <si>
    <t>Direct - geen opzegtermijn</t>
  </si>
  <si>
    <t>Vandaag</t>
  </si>
  <si>
    <t>Uitkomst</t>
  </si>
  <si>
    <t>Overleg regeling</t>
  </si>
  <si>
    <t>Ontslag staande</t>
  </si>
  <si>
    <t>Eerste datum</t>
  </si>
  <si>
    <t>Schadeloos.per</t>
  </si>
  <si>
    <t>Dagen per jaar</t>
  </si>
  <si>
    <t>Opzegdagen voor schadeloosstelling</t>
  </si>
  <si>
    <t>Opzegdagen tot regeling-loonkost</t>
  </si>
  <si>
    <t>Gegevens bij keuze ontbinding</t>
  </si>
  <si>
    <t>Ontbinding of UWV-ontslag</t>
  </si>
  <si>
    <t>Bedrag billijke vergoeding</t>
  </si>
  <si>
    <t>Bedrag advocaatkosten</t>
  </si>
  <si>
    <t>Omschrijving cumulatievergoeding</t>
  </si>
  <si>
    <t>Omschrijving billijke vergoeding</t>
  </si>
  <si>
    <t>Omschrijving advocaatkosten</t>
  </si>
  <si>
    <t>Geen transitievergoeding</t>
  </si>
  <si>
    <t>n.v.t.</t>
  </si>
  <si>
    <t>Kosten ontslagroute</t>
  </si>
  <si>
    <t>Loonkosten tot standaar + transitievergoeding</t>
  </si>
  <si>
    <t>Loonkosten totaal + tr + verg + vak + adv</t>
  </si>
  <si>
    <t>Omschrijving bij invoer Ernstig verwijtbaar</t>
  </si>
  <si>
    <t>Omschrijving bij invoer enkele Ontbinding</t>
  </si>
  <si>
    <t>Omschrijving bij invoer cumulatiegrond</t>
  </si>
  <si>
    <t>Omschrijving kop Kans van slagen</t>
  </si>
  <si>
    <t>Datum opzegtermijn procedure</t>
  </si>
  <si>
    <t>Onderbreking dienstverband in maanden</t>
  </si>
  <si>
    <t>Correctie factor Tr_verg min dagen onderbreking</t>
  </si>
  <si>
    <t>Onderbreking</t>
  </si>
  <si>
    <t>Onderbreking diensttijd</t>
  </si>
  <si>
    <t>Einde contract</t>
  </si>
  <si>
    <t>Tijdelijk contract</t>
  </si>
  <si>
    <t>Dagen</t>
  </si>
  <si>
    <t>Bruto loon per dag</t>
  </si>
  <si>
    <t>Einde tijdelijk contract</t>
  </si>
  <si>
    <t>Bruto loonkosten per jaar</t>
  </si>
  <si>
    <t>incl sociale lasten</t>
  </si>
  <si>
    <t>Correctie TR onderbreking</t>
  </si>
  <si>
    <t>Diensttijd einde contract</t>
  </si>
  <si>
    <t>Vakantiedagen nu</t>
  </si>
  <si>
    <t>Vakantie nog opbouw</t>
  </si>
  <si>
    <t>Aantal wek(en) later uit dienst</t>
  </si>
  <si>
    <t>Aantal weken later uit dienst</t>
  </si>
  <si>
    <t>Datum uit dienst ontslag St_V</t>
  </si>
  <si>
    <t>Rechtswege geen opzegterm</t>
  </si>
  <si>
    <t>Transitie tijdelijk contract</t>
  </si>
  <si>
    <t>Loonkosten tijdelijk</t>
  </si>
  <si>
    <t>Uitbetalen vakantieuren nu tijdelijk contract</t>
  </si>
  <si>
    <t>Uitbetalen vakantieuren nog tijdelijk contract</t>
  </si>
  <si>
    <t>Kosten tot einde rechtswege</t>
  </si>
  <si>
    <t>Loonkosten tot uit dienst regeling</t>
  </si>
  <si>
    <t>bespar</t>
  </si>
  <si>
    <t>Totaal kosten tot ontslag</t>
  </si>
  <si>
    <t>Alle kosten</t>
  </si>
  <si>
    <t>Kosten auto / vervoer / pensioen</t>
  </si>
  <si>
    <t>Vaststellingsovereenkomst</t>
  </si>
  <si>
    <t>Loonkosten per maand</t>
  </si>
  <si>
    <t>Kosten per maand werknemer</t>
  </si>
  <si>
    <t>Vergelijking opzegtermijn met overeengekomen termijn</t>
  </si>
  <si>
    <t>Overeengekomen opzegtermijn</t>
  </si>
  <si>
    <t>Arbeidsrechtkantoor AN-i</t>
  </si>
  <si>
    <t>Download laatste versie</t>
  </si>
  <si>
    <t>Aanhef brief</t>
  </si>
  <si>
    <t>C.</t>
  </si>
  <si>
    <t>N.</t>
  </si>
  <si>
    <t>U.</t>
  </si>
  <si>
    <t>S.K.N.</t>
  </si>
  <si>
    <t>N.K.</t>
  </si>
  <si>
    <t>H.</t>
  </si>
  <si>
    <t>D.B.</t>
  </si>
  <si>
    <t xml:space="preserve">De </t>
  </si>
  <si>
    <t>De</t>
  </si>
  <si>
    <t>Van de</t>
  </si>
  <si>
    <t>Van</t>
  </si>
  <si>
    <t>Bepaalde tijd / uitzendkracht / ZZP</t>
  </si>
  <si>
    <t>In dienst</t>
  </si>
  <si>
    <t>26 weken eis</t>
  </si>
  <si>
    <t>Voorv+Naam-H</t>
  </si>
  <si>
    <t>Voov-K</t>
  </si>
  <si>
    <t>Voorv+Naam-k</t>
  </si>
  <si>
    <t xml:space="preserve">T.a.v. </t>
  </si>
  <si>
    <t>Voorl+voorv-k</t>
  </si>
  <si>
    <t>(ex artikel 7:900 BW)</t>
  </si>
  <si>
    <t>De ondergetekenden:</t>
  </si>
  <si>
    <t>Overwegende als volgt:</t>
  </si>
  <si>
    <t xml:space="preserve">A. </t>
  </si>
  <si>
    <t xml:space="preserve">1. </t>
  </si>
  <si>
    <t>Transit</t>
  </si>
  <si>
    <t>Spanjaardslaan</t>
  </si>
  <si>
    <t>Datum als tekst</t>
  </si>
  <si>
    <t>De heer / mevrouw</t>
  </si>
  <si>
    <t>1202 HG</t>
  </si>
  <si>
    <t>G.A. de Vries-Kok</t>
  </si>
  <si>
    <t>0623883289</t>
  </si>
  <si>
    <t>Transit DC BV</t>
  </si>
  <si>
    <t>www.transit-dc.nl</t>
  </si>
  <si>
    <t>gdevries@transit-dc.nl</t>
  </si>
  <si>
    <t>Betreft:       Ontslag wegens bedrijfseconomische / organisatorische omstandigheden</t>
  </si>
  <si>
    <t>Ref:              TR_UW_893</t>
  </si>
  <si>
    <t>Datum vandaag</t>
  </si>
  <si>
    <t>Vandaag tekst</t>
  </si>
  <si>
    <t>Datum 2e overleg</t>
  </si>
  <si>
    <t>Datum 23 overleg tekst</t>
  </si>
  <si>
    <t>Uitzendkracht</t>
  </si>
  <si>
    <t>Oproepkracht</t>
  </si>
  <si>
    <t>Aanvullende regeling (sociaal plan)</t>
  </si>
  <si>
    <t>K.S.</t>
  </si>
  <si>
    <t xml:space="preserve">K.R. </t>
  </si>
  <si>
    <t>UWV AJD-Amsterdam</t>
  </si>
  <si>
    <t>Postbus 8071</t>
  </si>
  <si>
    <t>1005 AB Amsterdam</t>
  </si>
  <si>
    <t>Vries</t>
  </si>
  <si>
    <t>de heer / mevrouw</t>
  </si>
  <si>
    <r>
      <t xml:space="preserve">Ref:                     </t>
    </r>
    <r>
      <rPr>
        <sz val="11"/>
        <color theme="1"/>
        <rFont val="Calibri"/>
        <family val="2"/>
        <scheme val="minor"/>
      </rPr>
      <t xml:space="preserve"> TR_UW_893</t>
    </r>
  </si>
  <si>
    <t>Besparing loonkosten in deze functie</t>
  </si>
  <si>
    <t>Zorgvuldig werken</t>
  </si>
  <si>
    <t>Invoer lege velden</t>
  </si>
  <si>
    <t>Vergelijking ontslagroute</t>
  </si>
  <si>
    <t xml:space="preserve">     Ontslagkosten in geval UWV-procedure</t>
  </si>
  <si>
    <t>UWV ontslag</t>
  </si>
  <si>
    <t xml:space="preserve">Personeelsoverzicht voor bij formulier A </t>
  </si>
  <si>
    <t>Overzicht met de voorgenomen ontslagen</t>
  </si>
  <si>
    <t xml:space="preserve">Tussenv. </t>
  </si>
  <si>
    <t>Voorletters</t>
  </si>
  <si>
    <t>Huisnr</t>
  </si>
  <si>
    <t xml:space="preserve">Personeelsoverzicht voor bij formulier C </t>
  </si>
  <si>
    <t>Contract</t>
  </si>
  <si>
    <t>FTE</t>
  </si>
  <si>
    <t xml:space="preserve">Hoeveel ontslagen?   </t>
  </si>
  <si>
    <t>Reden</t>
  </si>
  <si>
    <t>Ontslagdatum</t>
  </si>
  <si>
    <t>Indien u medewerkers aan de lijst wilt toevoegen</t>
  </si>
  <si>
    <t>Is de medewerker akkoord?</t>
  </si>
  <si>
    <t>Vertrekregeling test</t>
  </si>
  <si>
    <t>Maanden onderbreking tussen de (tijdelijke) dienstverbanden</t>
  </si>
  <si>
    <t>Alle kosten vergelijken</t>
  </si>
  <si>
    <t>Advies</t>
  </si>
  <si>
    <t>Vergelijk einde tijdelijk contract en vergoeding</t>
  </si>
  <si>
    <t>Advies tekst hieronder</t>
  </si>
  <si>
    <t>Advieskop</t>
  </si>
  <si>
    <t>Maak meer kans met minder kosten</t>
  </si>
  <si>
    <t>Doordachte concepten</t>
  </si>
  <si>
    <t>Snelle voorbereiding</t>
  </si>
  <si>
    <t>Redenen voor ontslag</t>
  </si>
  <si>
    <t>Webformulieren UWV</t>
  </si>
  <si>
    <t>Handleiding</t>
  </si>
  <si>
    <t>3. Sla het formulier op als PDF</t>
  </si>
  <si>
    <t>4. Dien het UWV-formulier in bij het UWV</t>
  </si>
  <si>
    <t>Handleiding tussentijds opslaan</t>
  </si>
  <si>
    <t xml:space="preserve">Handleiding inloggen UWV. </t>
  </si>
  <si>
    <t>2. Vul onderstaande gegevens in</t>
  </si>
  <si>
    <t>Toelichting</t>
  </si>
  <si>
    <t>Volgende stap</t>
  </si>
  <si>
    <t xml:space="preserve">Lees de inleiding en kies voor: </t>
  </si>
  <si>
    <t>Antwoord</t>
  </si>
  <si>
    <t>De onderneming is dan niet ingesteld op grond van publiekrecht, of belast met verordenende bevoegdheid of openbaar gezag.</t>
  </si>
  <si>
    <t xml:space="preserve">Als de bedrijfsnaam en handelsnaam gelijk is, dan kunt u ook Nee invoeren. </t>
  </si>
  <si>
    <t>Is de werkgever een overheidswerkgever?</t>
  </si>
  <si>
    <t>Adres hoofdvestiging</t>
  </si>
  <si>
    <t>10</t>
  </si>
  <si>
    <t>Eventueel opgave ander correspondentieadres</t>
  </si>
  <si>
    <t>Jagerlaan</t>
  </si>
  <si>
    <t>3701 KJ</t>
  </si>
  <si>
    <t>HR adviseur</t>
  </si>
  <si>
    <t>E-mailadres</t>
  </si>
  <si>
    <t>Faxnummer</t>
  </si>
  <si>
    <t xml:space="preserve">n.v.t. </t>
  </si>
  <si>
    <t>Overige gegevens onderneming</t>
  </si>
  <si>
    <t>Loonheffingsnummer (9 cijfers + 2 cijfers)</t>
  </si>
  <si>
    <t xml:space="preserve">L  </t>
  </si>
  <si>
    <t>Voer eerst 9 cijfers in en na de "L" de 2 resterende cijfers</t>
  </si>
  <si>
    <t>01</t>
  </si>
  <si>
    <t>Medezeggenschap</t>
  </si>
  <si>
    <t>U gaat met deze link naar de UWV-website waar u formulier A kunt invullen</t>
  </si>
  <si>
    <t>U gaat met deze link naar de UWV-website waar u formulier B kunt invullen</t>
  </si>
  <si>
    <t>Alle privacy gevoelige informatie van werknemer waar naar gevraagd wordt in formulier C dient u als een bijlage toe te voegen aan deel B van de betreffende werknemer, ook als die informatie bij een antwoord op een vraag uit deel C hoort. Formulier deel B en deel C dienen dan ook tegelijkertijd opgestuurd te worden.</t>
  </si>
  <si>
    <t>RSIN betekent: Rechtspersonen Samenwerkingsverbanden Informatie Nummer (voorheen fiscaal nummer). Dit nummer staat op het uittreksel van de Kamer van Koophandel. Vaak kan het RSIN van de werkgever ook worden afgeleid van het loonheffingennummer van de werkgever. Het RSIN is dan hetzelfde als het loonheffingennummer, maar dan zonder de letter L en de 2 cijfers daarachter.</t>
  </si>
  <si>
    <t>Gegevens werkgever</t>
  </si>
  <si>
    <t>Emailadres</t>
  </si>
  <si>
    <t>Persoonsgegevens</t>
  </si>
  <si>
    <t>Woonadres</t>
  </si>
  <si>
    <t>1037RK</t>
  </si>
  <si>
    <t>1008DG</t>
  </si>
  <si>
    <t>1032ZA</t>
  </si>
  <si>
    <t>1021KL</t>
  </si>
  <si>
    <t>1123ZA</t>
  </si>
  <si>
    <t>Postcode splits</t>
  </si>
  <si>
    <t>Cor.adres</t>
  </si>
  <si>
    <t>Naar de pagina met info en invoer over de bedrijfsvestiging</t>
  </si>
  <si>
    <t xml:space="preserve">In geval de werknemer een rayon heeft of voor meerdere bedrijfsvestigingen werkt, neem dan het volgende op: </t>
  </si>
  <si>
    <t>Functieomschrijving</t>
  </si>
  <si>
    <t>Actuele omschrijving</t>
  </si>
  <si>
    <t>Uren per week</t>
  </si>
  <si>
    <t>Herplaatsingstermijn</t>
  </si>
  <si>
    <t>Einde herplaatsing</t>
  </si>
  <si>
    <t>Kenmerk UWV</t>
  </si>
  <si>
    <t>O-999999999</t>
  </si>
  <si>
    <t>Dit kenmerk heeft u alleen als u post van het UWV heeft ontvangen (na indiening formulier A)</t>
  </si>
  <si>
    <t>Referentiegegevens</t>
  </si>
  <si>
    <t>Typering werkgever</t>
  </si>
  <si>
    <t>De werkgever is</t>
  </si>
  <si>
    <t>Kies voor "Anders"</t>
  </si>
  <si>
    <t>U gaat door naar onderdeel 6.</t>
  </si>
  <si>
    <t>Wil de werkgever binnen een tijdvak van 3 maanden 20 of meer werknemers ontslaan om bedrijfseconomische redenen binnen 1 WMCO-werkgebied?</t>
  </si>
  <si>
    <r>
      <t xml:space="preserve">Een collectief ontslag moet vooraf gemeld worden. Collectief ontslag doet zich voor als een werknemer meer dan 20 werknemers wil ontslaan. Het gaat daarbij om een ieder die wegens bedrijfseconomische gronden vertrek (al dan niet middels een VSO, toestemming UWV, instemming met opzegging of via de kantonrechter). De telling is per werkgebied van de UWV-vestiging waar de ontslagaanvraag wordt ingediend. </t>
    </r>
    <r>
      <rPr>
        <i/>
        <sz val="10"/>
        <color rgb="FFFF0000"/>
        <rFont val="Calibri"/>
        <family val="2"/>
        <scheme val="minor"/>
      </rPr>
      <t xml:space="preserve">Zie voor meer informatie. </t>
    </r>
  </si>
  <si>
    <t>Slechte of slechter wordende financiële situatie</t>
  </si>
  <si>
    <t>Werkvermindering</t>
  </si>
  <si>
    <t>Organisatorische of technologische veranderingen</t>
  </si>
  <si>
    <t>(Gedeeltelijke) bedrijfsbeëindiging</t>
  </si>
  <si>
    <t>Bedrijfsverhuizing</t>
  </si>
  <si>
    <t>Vervallen van loonkostensubsidie</t>
  </si>
  <si>
    <t>Een andere bedrijfseconomische reden</t>
  </si>
  <si>
    <t>*</t>
  </si>
  <si>
    <t>Straatnummer</t>
  </si>
  <si>
    <t>De werknemer behoord tot de volgende bedrijfsvestiging:</t>
  </si>
  <si>
    <t>Overgang onderneming</t>
  </si>
  <si>
    <t>Groepsverband</t>
  </si>
  <si>
    <t>Deeltijdontslag</t>
  </si>
  <si>
    <t>Uitbesteding werkzaamheden</t>
  </si>
  <si>
    <t>Meerdere (bedrijfs)vestigingen</t>
  </si>
  <si>
    <t>Gegevens personeel</t>
  </si>
  <si>
    <t>Gegevens organisatie</t>
  </si>
  <si>
    <t>Indeling in functies</t>
  </si>
  <si>
    <t>Termijn voor herplaatsing</t>
  </si>
  <si>
    <t xml:space="preserve">Wel of niet herplaatsen? </t>
  </si>
  <si>
    <t>wijzig peildatum</t>
  </si>
  <si>
    <t>de</t>
  </si>
  <si>
    <t>D.O.K.</t>
  </si>
  <si>
    <t>Accountmanager</t>
  </si>
  <si>
    <t>Kosten per maand (o.a. auto, reizen, pensioen)</t>
  </si>
  <si>
    <t>Overige kosten voor rekening van werkgever</t>
  </si>
  <si>
    <t>Datum onderhandeling</t>
  </si>
  <si>
    <t>Bruto loon (per maand)</t>
  </si>
  <si>
    <t>Afwijkend percentage vakantiegeld (%)</t>
  </si>
  <si>
    <t>Standaardcellen</t>
  </si>
  <si>
    <t>Overige cellen</t>
  </si>
  <si>
    <t>Afhankelijk</t>
  </si>
  <si>
    <t>Ontslag op sv</t>
  </si>
  <si>
    <t>Standaard</t>
  </si>
  <si>
    <t>Fictieve datum nu+365</t>
  </si>
  <si>
    <t>Maximale transitievergoeding</t>
  </si>
  <si>
    <t>per jaar</t>
  </si>
  <si>
    <t>Motivatie ontslagvolgorde</t>
  </si>
  <si>
    <t>Motivatie herplaatsing</t>
  </si>
  <si>
    <t xml:space="preserve">Motivatie ontslagvolgorde </t>
  </si>
  <si>
    <t xml:space="preserve">1. Ga naar het formulier door te kiezen voor:   </t>
  </si>
  <si>
    <t xml:space="preserve">Gegevens werknemer(s) </t>
  </si>
  <si>
    <t>Algemene omschrijving ontslagredenen</t>
  </si>
  <si>
    <t>Extra toekenning in regeling (sociaal plan)</t>
  </si>
  <si>
    <t>Stap 1</t>
  </si>
  <si>
    <t>Stap 2</t>
  </si>
  <si>
    <t>Bepaal wie er wordt ontslagen</t>
  </si>
  <si>
    <t>Stap 3</t>
  </si>
  <si>
    <t>Stap 4</t>
  </si>
  <si>
    <t>Aanvraag ontslagvergunning - formulier B</t>
  </si>
  <si>
    <t>Aanvraag ontslagvergunning - formulier A</t>
  </si>
  <si>
    <t>Aanvraag ontslagvergunning - formulier C</t>
  </si>
  <si>
    <t>Overzicht en toelichting afspiegelen in de functie:</t>
  </si>
  <si>
    <t xml:space="preserve">Binnen welke functie vervallen de arbeidsplaatsen?   </t>
  </si>
  <si>
    <t xml:space="preserve">Invoer 1 - Voer de volgende gegevens in: </t>
  </si>
  <si>
    <t>Invoer 2 - Om welke bedrijfseconomische reden(en) gaat het?</t>
  </si>
  <si>
    <t>Invoer 3 - Doen zich bijzonderheden voor?</t>
  </si>
  <si>
    <t>Invoer gegevens</t>
  </si>
  <si>
    <t>Invoer 4 - Verzamelen bijlagen</t>
  </si>
  <si>
    <t>Juridische ondersteuning</t>
  </si>
  <si>
    <t>Het stappenplan helpt u door alle fases heen: verval functie, herplaatsing, overleg over regeling en de ontslagaanvraag bij het UWV.</t>
  </si>
  <si>
    <t>Advies en toelichting</t>
  </si>
  <si>
    <t>U maakt gebruik van de formulieren, overzichten en brieven van onze specialisten.</t>
  </si>
  <si>
    <t xml:space="preserve">Aanpak volgens het stappenplan </t>
  </si>
  <si>
    <t>Besparing advocaat</t>
  </si>
  <si>
    <t>Wat is inbegrepen?</t>
  </si>
  <si>
    <r>
      <t xml:space="preserve">Garantie </t>
    </r>
    <r>
      <rPr>
        <b/>
        <i/>
        <sz val="12"/>
        <rFont val="Calibri"/>
        <family val="2"/>
        <scheme val="minor"/>
      </rPr>
      <t>-</t>
    </r>
    <r>
      <rPr>
        <i/>
        <sz val="12"/>
        <rFont val="Calibri"/>
        <family val="2"/>
        <scheme val="minor"/>
      </rPr>
      <t xml:space="preserve"> niet goed is geld terug!</t>
    </r>
  </si>
  <si>
    <t>geef dat dan aan op de ontslagpagina (fase 4)</t>
  </si>
  <si>
    <t>Handleiding opslaan formulier als PDF</t>
  </si>
  <si>
    <r>
      <t>Het algoritme van</t>
    </r>
    <r>
      <rPr>
        <b/>
        <i/>
        <sz val="11"/>
        <color theme="1"/>
        <rFont val="Calibri"/>
        <family val="2"/>
        <scheme val="minor"/>
      </rPr>
      <t xml:space="preserve"> </t>
    </r>
    <r>
      <rPr>
        <b/>
        <sz val="11"/>
        <rFont val="Calibri"/>
        <family val="2"/>
        <scheme val="minor"/>
      </rPr>
      <t>Arbeids</t>
    </r>
    <r>
      <rPr>
        <b/>
        <sz val="11"/>
        <color theme="8"/>
        <rFont val="Calibri"/>
        <family val="2"/>
        <scheme val="minor"/>
      </rPr>
      <t>rechter</t>
    </r>
    <r>
      <rPr>
        <b/>
        <sz val="11"/>
        <color theme="1"/>
        <rFont val="Calibri"/>
        <family val="2"/>
        <scheme val="minor"/>
      </rPr>
      <t>.nl</t>
    </r>
  </si>
  <si>
    <t>Met de toelichting komt u doelgericht bij de juiste aanpak en een volledige UWV-aanvraag</t>
  </si>
  <si>
    <t>De prijs</t>
  </si>
  <si>
    <t>Einde-oproep</t>
  </si>
  <si>
    <t>Leeftijd</t>
  </si>
  <si>
    <t xml:space="preserve">  gemiddelde loonkosten</t>
  </si>
  <si>
    <t>Verdeling</t>
  </si>
  <si>
    <t>Overige gronden</t>
  </si>
  <si>
    <t>Aantal medewerkers dat vertrekt:</t>
  </si>
  <si>
    <t xml:space="preserve">Van alle personen die in deze functie in dienst zijn is de naam, geboortedatum en leeftijdsgroep zichtbaar. Een opzegverbod, reden uit dienst en de uit dienst datum wordt vermeld. 
Bij deze verdeling zijn de afspiegelingsregels toegepast. Uitzendkrachten en ZZP-ers zijn in de afspiegeling niet meegenomen. Bij het berekenen zijn wel medewerkers meegenomen die op andere gronden vertrekken (tijdelijk contract, ontslagname, oproep, VSO en AOW). Dat kan er toe leiden dat bij vertrek van medewerkers op andere gronden, collegae kunnen blijven (eerst in de leeftijdsgroep en anders in een andere groep). Indien bij de verdeling voor meerdere groepen dezelfde verdeelsleutel geldt,, dan is over de combinatie van deze groepen de verdeling toegepast. </t>
  </si>
  <si>
    <t>&lt; 500 medewerkers</t>
  </si>
  <si>
    <r>
      <rPr>
        <b/>
        <i/>
        <sz val="12"/>
        <color theme="1"/>
        <rFont val="Calibri"/>
        <family val="2"/>
        <scheme val="minor"/>
      </rPr>
      <t>€ 1495,-</t>
    </r>
    <r>
      <rPr>
        <i/>
        <sz val="12"/>
        <color theme="1"/>
        <rFont val="Calibri"/>
        <family val="2"/>
        <scheme val="minor"/>
      </rPr>
      <t xml:space="preserve"> (excl. btw)</t>
    </r>
  </si>
  <si>
    <t>&lt;   50 medewerkers</t>
  </si>
  <si>
    <t>Teskst</t>
  </si>
  <si>
    <t>Factor verhoging loonkosten door sociale lasten e.d.</t>
  </si>
  <si>
    <t>vul de kans in</t>
  </si>
  <si>
    <t>Nader invullen arbeidsvoorwaarden</t>
  </si>
  <si>
    <t>Invullen vakantierechten</t>
  </si>
  <si>
    <t xml:space="preserve">Doen zich bijzonderheden voor? </t>
  </si>
  <si>
    <t>Is een afwijkende opzegtermijn overeengekomen?</t>
  </si>
  <si>
    <t>Informatie</t>
  </si>
  <si>
    <t>Na de procedure</t>
  </si>
  <si>
    <t xml:space="preserve">Demoversie </t>
  </si>
  <si>
    <t>Gebruiksrechten, aansprakelijkheid &amp; intellectueel eigendom ©</t>
  </si>
  <si>
    <t xml:space="preserve">Alle rechten van intellectuele eigendom berusten bij AN-i. Iedere vorm van misbruik, onrechtmatig gebruik, kopiëren of namaken van de tool en gebruikte teksten is verboden. Bij overtreding zal naast een verbod, de schade en onrechtmatig verkregen winsten opgeëist worden. Alle auteursrechten op de tools en andere openbaar gemaakte inhoud (waaronder begrepen teksten en afbeeldingen), worden uitdrukkelijk voorbehouden. Het is niet toegestaan om  (onderdelen van) de tool, teksten, afbeeldingen, overzichten, berekeningen en/of ander auteursrechtelijk beschermd materiaal ongeacht de publicatie en drager te kopiëren, te verveelvoudigen, op te slaan of op een andere wijze openbaar te maken.  AN-i zoekt actief naar misbruik van haar auteursrechten en rechten van intellectuele eigendom. </t>
  </si>
  <si>
    <t>Extra dagen procedure UWV of kantonrechter</t>
  </si>
  <si>
    <t>Diensttijd als UWV / kantonrechter beslist</t>
  </si>
  <si>
    <t>Loonkosten boven + trans + vakantie</t>
  </si>
  <si>
    <t>Besparing loonkosten</t>
  </si>
  <si>
    <t>Bedrag cumulatievergoeding</t>
  </si>
  <si>
    <t xml:space="preserve">Extra reiskosten </t>
  </si>
  <si>
    <t>Demoversie</t>
  </si>
  <si>
    <t xml:space="preserve">aanvullend vast bedrag </t>
  </si>
  <si>
    <t>Voorl.</t>
  </si>
  <si>
    <t>Voorv.</t>
  </si>
  <si>
    <t>Toeslagen</t>
  </si>
  <si>
    <t>Gegevens werkgever en aankondiging ontslag</t>
  </si>
  <si>
    <t xml:space="preserve">Kopieer onderstaande antwoorden met de sneltoetsen (ctrl-c &amp; ctrl-v).  Wilt u meer dan 15 minuten pauzeren, sla de aanvraag dan op. </t>
  </si>
  <si>
    <t xml:space="preserve">Tussen. </t>
  </si>
  <si>
    <t>Ontslagregeling</t>
  </si>
  <si>
    <t>Een helder advies per ontslagsituatie</t>
  </si>
  <si>
    <t xml:space="preserve">Stappenplan </t>
  </si>
  <si>
    <t>Vaststellingsovereenkomst per medewerker</t>
  </si>
  <si>
    <t xml:space="preserve">Brieven UWV (aanbieden, aanhouding, intrekken, etc). </t>
  </si>
  <si>
    <t>Personeelsoverzicht bij formulier C</t>
  </si>
  <si>
    <t>Ontslagbrief</t>
  </si>
  <si>
    <t>Toelichting afspiegelen bij formulier C</t>
  </si>
  <si>
    <t>Koppelen benodigde besparing aan ontslagen</t>
  </si>
  <si>
    <t>Ontslagoverzicht bij formulier A</t>
  </si>
  <si>
    <t xml:space="preserve">Berekenen en doorvoeren ontslagregeling </t>
  </si>
  <si>
    <t>Wat heeft u als werkgever nodig bij een UWV-ontslag?</t>
  </si>
  <si>
    <t>Overzicht van de ontslaggn en afspiegelen</t>
  </si>
  <si>
    <t xml:space="preserve">Complete antwoorden op alle vragen UWV </t>
  </si>
  <si>
    <t xml:space="preserve">Duidelijke invoer voor UWV-formulier A, B en C. </t>
  </si>
  <si>
    <t>Brief herplaatsingsafspraken bij formulier B</t>
  </si>
  <si>
    <t>Invoer gegevens &amp; motivatie</t>
  </si>
  <si>
    <t>Ontslagregeling per werknemer bepalen</t>
  </si>
  <si>
    <t>Afspiegelen per functie</t>
  </si>
  <si>
    <t>Technische ondersteuning</t>
  </si>
  <si>
    <t>Wat wilt u doen?</t>
  </si>
  <si>
    <t>Bekijken overzicht van de ontslagen</t>
  </si>
  <si>
    <t>Alle documenten en formulieren inzien</t>
  </si>
  <si>
    <t>Printen toelichting van het afspiegelen</t>
  </si>
  <si>
    <t>Ontslagronde bij:</t>
  </si>
  <si>
    <t xml:space="preserve">Bij iedere onderhandeling over een vertrekregeling heeft u inzicht nodig in de cijfers. Deze toolbox rekent alles door en geeft advies per ontslagsituatie (ontbinding, UWV-ontslag, ontslag op staande voet en tijdelijk dienstverband). </t>
  </si>
  <si>
    <t>Wilt u de ontslagregeling in detail berekenen?</t>
  </si>
  <si>
    <t>Rekentool bij de onderhandeling over ontslag</t>
  </si>
  <si>
    <t>Ontslagsituatie</t>
  </si>
  <si>
    <t>Is de ontslagregeling in balans?</t>
  </si>
  <si>
    <t>Wat geeft de toolbox aan? </t>
  </si>
  <si>
    <t>Bij iedere onderhandeling heeft u inzicht nodig in de cijfers. De toolbox rekent alles door en geeft advies per ontslagsituatie.  </t>
  </si>
  <si>
    <t>De verschillende ontslagsituaties: </t>
  </si>
  <si>
    <t xml:space="preserve"> - de proceduretijd inclusief opzegtermijn </t>
  </si>
  <si>
    <t xml:space="preserve"> - de transitievergoeding</t>
  </si>
  <si>
    <t xml:space="preserve"> - billijke vergoeding </t>
  </si>
  <si>
    <t xml:space="preserve"> - cumulatievergoeding</t>
  </si>
  <si>
    <t xml:space="preserve"> - schadeloosstelling</t>
  </si>
  <si>
    <t xml:space="preserve"> - afkoopwaarde van de vakantierechten</t>
  </si>
  <si>
    <t xml:space="preserve"> - loonkosten per medewerker</t>
  </si>
  <si>
    <t xml:space="preserve"> - derhalve alle ontslagkosten per ontslagsituatie</t>
  </si>
  <si>
    <t xml:space="preserve"> - UWV-ontslag</t>
  </si>
  <si>
    <t xml:space="preserve"> - Ontbinding arbeidsovereenkomst</t>
  </si>
  <si>
    <t xml:space="preserve"> - Ontslag op staande voet</t>
  </si>
  <si>
    <t xml:space="preserve"> - Einde tijdelijk dienstverband</t>
  </si>
  <si>
    <r>
      <rPr>
        <b/>
        <sz val="24"/>
        <color theme="8"/>
        <rFont val="Lato"/>
        <family val="2"/>
      </rPr>
      <t xml:space="preserve">Toolbox </t>
    </r>
    <r>
      <rPr>
        <b/>
        <sz val="24"/>
        <color rgb="FF000000"/>
        <rFont val="Lato"/>
        <family val="2"/>
      </rPr>
      <t xml:space="preserve">Ontslagregeling  </t>
    </r>
    <r>
      <rPr>
        <sz val="24"/>
        <color rgb="FF000000"/>
        <rFont val="Lato"/>
        <family val="2"/>
      </rPr>
      <t>– onderhandelen met inzicht</t>
    </r>
  </si>
  <si>
    <t>Einddatum en vergoeding</t>
  </si>
  <si>
    <t xml:space="preserve">Bij overleg over een vertrekregeling gaat het vooral over de datum waarop het dienstverband eindigt en de hoogte van de ontslagvergoeding. De toolbox rekent dat volledig door. </t>
  </si>
  <si>
    <t>Voorstel op waarde schatten</t>
  </si>
  <si>
    <t>Inzicht in het alternatief</t>
  </si>
  <si>
    <t>Wat kunt u met de toolbox? </t>
  </si>
  <si>
    <t xml:space="preserve"> - de ontbinding via de kantonrechter</t>
  </si>
  <si>
    <t xml:space="preserve"> - het UWV-ontslag</t>
  </si>
  <si>
    <t xml:space="preserve"> - een ontslag op staande voet</t>
  </si>
  <si>
    <t>“Eindelijk een toolbox met een algoritme dat werkt met bigdata.” </t>
  </si>
  <si>
    <r>
      <rPr>
        <b/>
        <sz val="24"/>
        <color theme="8"/>
        <rFont val="Lato"/>
        <family val="2"/>
      </rPr>
      <t xml:space="preserve">Een helder </t>
    </r>
    <r>
      <rPr>
        <b/>
        <sz val="24"/>
        <color rgb="FF000000"/>
        <rFont val="Lato"/>
        <family val="2"/>
      </rPr>
      <t xml:space="preserve">advies  </t>
    </r>
    <r>
      <rPr>
        <sz val="24"/>
        <color rgb="FF000000"/>
        <rFont val="Lato"/>
        <family val="2"/>
      </rPr>
      <t>– over de vergoeding</t>
    </r>
  </si>
  <si>
    <t>De onderhandelruimte</t>
  </si>
  <si>
    <t>Alternatieven werknemer</t>
  </si>
  <si>
    <t>Een werknemer die veel kansen op ander werk heeft, die het ontslag begrijpt, zelf ook weg wil en niet wil procederen zal veelal een minder hoge vergoeding vragen.
Een werknemer met weinig kans op ander werk, die wil doorwerken en bereid is om juridische kosten te maken, zal een hogere vergoeding vragen.
De situatie kan dusdanig zijn dat een werknemer een bedrag vraagt boven de aangegeven onderhandelruimte.</t>
  </si>
  <si>
    <t>Ernstig verwijtbaar handelen?</t>
  </si>
  <si>
    <t>Stap 1. Invoeren van de datum in dienst en het bruto loon</t>
  </si>
  <si>
    <t>Stap 2. Keuze van de ontslagroute</t>
  </si>
  <si>
    <t>Stap 3. Berekenen van de ontslagregeling in detail</t>
  </si>
  <si>
    <t xml:space="preserve"> - Voer de datum in waarop de werknemer in dienst is getreden.</t>
  </si>
  <si>
    <t xml:space="preserve"> - Daaronder voert u de datum in van de dag waarop u de onderhandelingen gaat starten. </t>
  </si>
  <si>
    <r>
      <t>Arbeidsrecht</t>
    </r>
    <r>
      <rPr>
        <b/>
        <sz val="15"/>
        <color theme="8"/>
        <rFont val="Calibri"/>
        <family val="2"/>
        <scheme val="minor"/>
      </rPr>
      <t>kantoor</t>
    </r>
    <r>
      <rPr>
        <b/>
        <sz val="15"/>
        <color theme="1"/>
        <rFont val="Calibri"/>
        <family val="2"/>
        <scheme val="minor"/>
      </rPr>
      <t xml:space="preserve"> AN-i</t>
    </r>
  </si>
  <si>
    <t>Opleidingen arbeidsrecht</t>
  </si>
  <si>
    <r>
      <t>Arbeidsrecht</t>
    </r>
    <r>
      <rPr>
        <b/>
        <sz val="12"/>
        <color theme="8"/>
        <rFont val="Calibri"/>
        <family val="2"/>
        <scheme val="minor"/>
      </rPr>
      <t>kantoor</t>
    </r>
    <r>
      <rPr>
        <b/>
        <sz val="12"/>
        <color theme="1"/>
        <rFont val="Calibri"/>
        <family val="2"/>
        <scheme val="minor"/>
      </rPr>
      <t xml:space="preserve"> AN-i</t>
    </r>
  </si>
  <si>
    <t xml:space="preserve">Stap-voor-stap instrument bij bedrijfseconomisch ontslag </t>
  </si>
  <si>
    <t>08877-08877 | AN-i.nl</t>
  </si>
  <si>
    <r>
      <t>08877</t>
    </r>
    <r>
      <rPr>
        <sz val="12"/>
        <color theme="8"/>
        <rFont val="Calibri"/>
        <family val="2"/>
        <scheme val="minor"/>
      </rPr>
      <t>-08877</t>
    </r>
    <r>
      <rPr>
        <sz val="12"/>
        <color theme="1"/>
        <rFont val="Calibri"/>
        <family val="2"/>
        <scheme val="minor"/>
      </rPr>
      <t xml:space="preserve"> | AN-i.nl</t>
    </r>
  </si>
  <si>
    <t>Compleet overzicht op de ontslagpagina</t>
  </si>
  <si>
    <t>Op de ontslagpagina ziet u alle medewerkers en kunt u overzichtelijk zien wie er, wanneer en op welke wijze vertrekt.</t>
  </si>
  <si>
    <t xml:space="preserve"> - Alle brieven per medewerker;
 - De brieven voor het UWV;
 - UWV-formulieren A, B en C;
 - Personeelsoverzichten. </t>
  </si>
  <si>
    <t>De ontslagregeling bepalen en doorvoeren</t>
  </si>
  <si>
    <t>U ziet per medewerker de ontslagkosten. U kunt de vertrekregeling en vaststellings-overeenkomst bepalen en printen.</t>
  </si>
  <si>
    <r>
      <t>Juist omdat ontslag ingrijpend is </t>
    </r>
    <r>
      <rPr>
        <b/>
        <sz val="14"/>
        <color rgb="FF000000"/>
        <rFont val="Calibri"/>
        <family val="2"/>
        <scheme val="minor"/>
      </rPr>
      <t>–</t>
    </r>
    <r>
      <rPr>
        <sz val="14"/>
        <color rgb="FF000000"/>
        <rFont val="Calibri"/>
        <family val="2"/>
        <scheme val="minor"/>
      </rPr>
      <t> </t>
    </r>
    <r>
      <rPr>
        <b/>
        <sz val="14"/>
        <color rgb="FF000000"/>
        <rFont val="Calibri"/>
        <family val="2"/>
        <scheme val="minor"/>
      </rPr>
      <t>verwachten werknemers en het UWV het beste!  </t>
    </r>
  </si>
  <si>
    <t xml:space="preserve">Bij een ontslagronde verwachten werknemers en het UWV een zorgvuldige en complete aanpak. Met de tooblox weet u hoe u het ontslag aanpakt en krijgt u alle documenten.  U kent zelf de onderneming en de medewerkers als beste. Met de toolbox kunt u het zelf beter en goedkoper!  </t>
  </si>
  <si>
    <t xml:space="preserve">Meer kans? </t>
  </si>
  <si>
    <t>Met de toolbox werkt u stap-voor-stap en geautomatiseerd. Daardoor is er veel minder kans op fouten.</t>
  </si>
  <si>
    <t>Teksten per branche</t>
  </si>
  <si>
    <t>Minder kosten?</t>
  </si>
  <si>
    <t>U kunt het zelf</t>
  </si>
  <si>
    <t xml:space="preserve">Het staat u vrij om naast de tool derden in te schakelen, maar ook dan ligt alles klaar om te toetsen en matigt u de kosten aanzienlijk.  </t>
  </si>
  <si>
    <t>Minder onrust</t>
  </si>
  <si>
    <t>&gt; 500 medewerkers</t>
  </si>
  <si>
    <t>Op aanvraag</t>
  </si>
  <si>
    <t xml:space="preserve">Wij garanderen dat u met deze toolbox meer kans maakt tegen minder kosten. Daarvoor past u de toolbox toe naar werknemers en het UWV. Indien u vervolgens niet beter uit bent, dan krijgt u uw geld terug. </t>
  </si>
  <si>
    <t>De toolbox UWV-ontslag is compleet en geschreven voor het gebruik door werkgevers zelf.</t>
  </si>
  <si>
    <t>Desgewenst kunnen wij u tegen meerprijs juridische ondersteuning bieden als u dat nodig heeft.</t>
  </si>
  <si>
    <t xml:space="preserve">Voor gebruik door advocaten / adviseurs voor meerdere werkgevers gelden afwijkende tarieven. </t>
  </si>
  <si>
    <t xml:space="preserve">Bij iedere onderhandeling is het belangrijk om het alternatief voor de onderhandeling te kennen. De kosten en kansen in dat alternatief bepalen hoe sterk de onderhandelpositie is.    </t>
  </si>
  <si>
    <t xml:space="preserve"> - Vul vervolgens het overeengekomen maandelijks brutoloon in. Hiervoor kunt u op de laatste loonstroken kijken.</t>
  </si>
  <si>
    <t>U kunt de ontslagregeling in detail berekenen door bij deze vraag voor “Ja” te kiezen. Dan verschijnen er meerdere invoervelden. U kunt daar in detail de arbeidsvoorwaarden, vakantierechten,  overige kosten en eventuele bijzonderheden invullen. Desgewenst kunt u de advocaatkosten en de factor verhoging loonkosten bijstellen.
.</t>
  </si>
  <si>
    <t>o.a. de Post-master Arbeidsrecht</t>
  </si>
  <si>
    <t>Advies, bemiddelen en procederen</t>
  </si>
  <si>
    <t xml:space="preserve">U krijgt voorbeelden van teksten voor het UWV die geschreven zijn voor meerdere branches en situaties.  </t>
  </si>
  <si>
    <t>U kunt binnen een dag alle voorbereidingen treffen. Als u hierdoor sneller tot ontslag kunt overgaan bespaart u loonkosten.</t>
  </si>
  <si>
    <t xml:space="preserve">Door de tool hoef u geen advocaat in te schakelen, wat u anders tussen de 5.000 en 15.000 euro zal kosten. </t>
  </si>
  <si>
    <t xml:space="preserve">De tool geeft u de rust en tijd om te blijven ondernemen. U weet direct wat u gaat doen en hoe u dat aanpakt. U heeft alles in eigen hand. </t>
  </si>
  <si>
    <t xml:space="preserve">Indien u de brief voor een andere werknemer wenst </t>
  </si>
  <si>
    <t>geef dat dan aan bij het stappenplan (stap 3)</t>
  </si>
  <si>
    <r>
      <t xml:space="preserve">De aanpassingen voert u door bij </t>
    </r>
    <r>
      <rPr>
        <b/>
        <sz val="8"/>
        <color theme="1"/>
        <rFont val="Calibri"/>
        <family val="2"/>
        <scheme val="minor"/>
      </rPr>
      <t>Invoer</t>
    </r>
    <r>
      <rPr>
        <sz val="8"/>
        <color theme="1"/>
        <rFont val="Calibri"/>
        <family val="2"/>
        <scheme val="minor"/>
      </rPr>
      <t xml:space="preserve"> (stap 1 personeelsgegevens)</t>
    </r>
  </si>
  <si>
    <r>
      <t xml:space="preserve">Aanpassen van "uit dienst" en "reden uit dienst" doet u op de </t>
    </r>
    <r>
      <rPr>
        <b/>
        <sz val="8"/>
        <color theme="1"/>
        <rFont val="Calibri"/>
        <family val="2"/>
        <scheme val="minor"/>
      </rPr>
      <t>ontslagpagina</t>
    </r>
  </si>
  <si>
    <t>Indien u de vaststellingsovereenkomst van een andere werknemer wenst, geef dat dan aan bij het stappenplan (stap 3)</t>
  </si>
  <si>
    <t xml:space="preserve">Het is toegestaan om de toolbox ontslagregeling te gebruiken in de vorm waarin deze is uitgegeven. In geval van afdrukken van resultaten, wordt de bron "arbeidsrechter.nl" vermeld. Door gebruik te maken van onze producten en diensten gaat u akkoord met de algemene voorwaarden van AN-i (zie www.an-i.nl/av). Hoewel aan de totstandkoming van de tools en informatie de uiterste zorg is besteed, aanvaarden AN-i en relaties geen aansprakelijkheid voor eventuele fouten en onvolkomenheden, noch voor de gevolgen hiervan. </t>
  </si>
  <si>
    <t xml:space="preserve">Complete versie </t>
  </si>
  <si>
    <t>Updatedatum</t>
  </si>
  <si>
    <t>Onderstaande velden van formulier B zijn in de demoversie verborgen!</t>
  </si>
  <si>
    <t>Onderstaande velden zijn in deze demoversie verborgen</t>
  </si>
  <si>
    <t xml:space="preserve">Door inzicht te krijgen in de uitkomst van een procedure wordt de onderhandelingsruimte duidelijk. Alleen dan kan een voorstel op waarde geschat worden. </t>
  </si>
  <si>
    <t>De toolbox vergelijkt:</t>
  </si>
  <si>
    <t>De toolbox geeft het volgende:</t>
  </si>
  <si>
    <t xml:space="preserve"> - de vaststellingsovereenkomst</t>
  </si>
  <si>
    <t xml:space="preserve"> - het einde van een tijdelijk contract</t>
  </si>
  <si>
    <t xml:space="preserve"> - advies over de ontslagvergoeding</t>
  </si>
  <si>
    <t xml:space="preserve"> - inzicht in alle kosten van ontslag   </t>
  </si>
  <si>
    <t xml:space="preserve"> - de verwachte einddatum per ontslagroute</t>
  </si>
  <si>
    <t xml:space="preserve"> - de afkoopwaarde van de vakantierechten</t>
  </si>
  <si>
    <t xml:space="preserve"> - een overzicht van de loonkosten per periode</t>
  </si>
  <si>
    <t xml:space="preserve">Met de toolbox heeft u alles wat u nodig heeft om te onderhandelen over ontslag. </t>
  </si>
  <si>
    <t xml:space="preserve">De ontslagvergoeding ligt tussen transitievergoeding en de kosten voor de werkgever voor de alternatieve ontslagroute. 
Een werkgever die binnen deze onderhandelingsruimte een regeling treft is beter uit dan wanneer het tot een procedure komt.
Naast een besparing van kosten bespaart de werkgever zich bij een regeling: tijd, energie en het risico dat het UWV of kantonrechter het ontslag afwijst.  </t>
  </si>
  <si>
    <t xml:space="preserve">In geval van ernstig verwijtbaar handelen van de werknemer is er geen transitievergoeding verschuldigd. Dat kan zich bij ontslag op staande voet of ontbinding wegens ernstig verwijtbaar handelen voordoen.
In die situatie zal het in de onderhandeling eerst over gaan dat de medewerker het loon krijgt doorbetaald en de WW-uitkering zo veel als mogelijk veilig wordt gesteld. </t>
  </si>
  <si>
    <t xml:space="preserve"> - Kans van slagen van de werkgevver bij ontslag op staande voet – dat kan tot verval transitievergoeding en loon leiden voor de werknemer</t>
  </si>
  <si>
    <t xml:space="preserve"> - Kans van slagen voor de werkgever bij ontbinding wegen ernstig verwijtbaar handelen – dat kan tot verval van de transitievergoeding leiden</t>
  </si>
  <si>
    <t xml:space="preserve"> - Kans van slagen in geval van ontbinding op een andere grond – dat kan tot een extra billijke vergoeding leiden</t>
  </si>
  <si>
    <t xml:space="preserve"> - Kans van slagen in geval van ontbinding op een combinatie van gronden – dan is een extra cumulatievergoeding verschuldigd</t>
  </si>
  <si>
    <t>Alle documenten op maat</t>
  </si>
  <si>
    <t>Stap voor stap de ontslagroute doorvoeren</t>
  </si>
  <si>
    <t>Niet in demoversie</t>
  </si>
  <si>
    <r>
      <t>Demo</t>
    </r>
    <r>
      <rPr>
        <b/>
        <sz val="15"/>
        <color theme="8"/>
        <rFont val="Calibri"/>
        <family val="2"/>
        <scheme val="minor"/>
      </rPr>
      <t>versie</t>
    </r>
  </si>
  <si>
    <r>
      <t xml:space="preserve">Dertiende maand </t>
    </r>
    <r>
      <rPr>
        <i/>
        <sz val="10"/>
        <color theme="1"/>
        <rFont val="Calibri"/>
        <family val="2"/>
        <scheme val="minor"/>
      </rPr>
      <t>(per jaar)</t>
    </r>
  </si>
  <si>
    <r>
      <t xml:space="preserve">Vaste eindejaarsuitkering </t>
    </r>
    <r>
      <rPr>
        <i/>
        <sz val="10"/>
        <color theme="1"/>
        <rFont val="Calibri"/>
        <family val="2"/>
        <scheme val="minor"/>
      </rPr>
      <t>(per jaar)</t>
    </r>
  </si>
  <si>
    <r>
      <t xml:space="preserve">Toeslagen zonder vakantiegeld </t>
    </r>
    <r>
      <rPr>
        <i/>
        <sz val="10"/>
        <color theme="1"/>
        <rFont val="Calibri"/>
        <family val="2"/>
        <scheme val="minor"/>
      </rPr>
      <t>(totaal laatste 12 mnd)</t>
    </r>
  </si>
  <si>
    <r>
      <t xml:space="preserve">Overwerk </t>
    </r>
    <r>
      <rPr>
        <i/>
        <sz val="10"/>
        <color theme="1"/>
        <rFont val="Calibri"/>
        <family val="2"/>
        <scheme val="minor"/>
      </rPr>
      <t>(totaal laatste 12 maanden)</t>
    </r>
  </si>
  <si>
    <r>
      <t xml:space="preserve">Bonus </t>
    </r>
    <r>
      <rPr>
        <i/>
        <sz val="10"/>
        <color theme="1"/>
        <rFont val="Calibri"/>
        <family val="2"/>
        <scheme val="minor"/>
      </rPr>
      <t>(totaal van de voorgaande 3 jaren)</t>
    </r>
  </si>
  <si>
    <r>
      <t xml:space="preserve">Variabele winst-/eindejaarsuitkering </t>
    </r>
    <r>
      <rPr>
        <i/>
        <sz val="10"/>
        <color theme="1"/>
        <rFont val="Calibri"/>
        <family val="2"/>
        <scheme val="minor"/>
      </rPr>
      <t>(totaal voorgaande 3 jaren)</t>
    </r>
  </si>
  <si>
    <t>Toeslagen per jaar</t>
  </si>
  <si>
    <t>Variabele winst/eindejaars laatste 36 maanden</t>
  </si>
  <si>
    <t>Overwerk laatste 12 maanden</t>
  </si>
  <si>
    <t>Kosten advocaat in ontbindingsprocedure</t>
  </si>
  <si>
    <t>Opleidingen</t>
  </si>
  <si>
    <t>Procederen</t>
  </si>
  <si>
    <t>Bij deze toolbox hoort een handleiding, technische ondersteuning en 2 jaar lang gebruik met updates.</t>
  </si>
  <si>
    <t xml:space="preserve">Deze formulieren geven antwoord op de meer dan 200 vragen waarop het UWV antwoord wil zien. </t>
  </si>
  <si>
    <t>Onderstaande velden van formulier C zijn in de demoversie verborgen!</t>
  </si>
  <si>
    <t xml:space="preserve">De toolbox laat in een overzicht het verschil zien tussen een vaststellingsovereenkomst en de kansen en uitkomsten van de alternatieve ontslagroute. Daarover gaan de onderhandelingen. </t>
  </si>
  <si>
    <t>Handleiding bekijken</t>
  </si>
  <si>
    <t>Bewerken inschakelen</t>
  </si>
  <si>
    <t xml:space="preserve">De toolbox werkt alleen als u bij een beveiligingsmelding kiest voor:  </t>
  </si>
  <si>
    <t xml:space="preserve">Indien u het bestand opslaat en kiest voor inschakelen, dan werkt de tool ook    (sneltoets CTRL-S) </t>
  </si>
  <si>
    <t xml:space="preserve">De toolbox werkt alleen als u kiest voor: "Bewerken inschakelen". Indien u het bestand opslaat en kiest voor inschakelen, dan werkt het ook    (sneltoets CTRL-S). </t>
  </si>
  <si>
    <t>Toelichting berekening transitievergoeding:</t>
  </si>
  <si>
    <t>Diensttijd</t>
  </si>
  <si>
    <t xml:space="preserve">x  loonwaarde </t>
  </si>
  <si>
    <t xml:space="preserve">: 3 = </t>
  </si>
  <si>
    <t>De invoervelden zijn niet opgenomen in de demoversie!</t>
  </si>
  <si>
    <t>afgerond</t>
  </si>
  <si>
    <t>Nog te doen</t>
  </si>
  <si>
    <t>Onderstaande velden zijn niet opgenomen in de demoversie!</t>
  </si>
  <si>
    <t>1</t>
  </si>
  <si>
    <t>Verschuren</t>
  </si>
  <si>
    <t>Erik</t>
  </si>
  <si>
    <t/>
  </si>
  <si>
    <t>1032 ZA</t>
  </si>
  <si>
    <t>K.  Tonet</t>
  </si>
  <si>
    <t>Geachte heer Tonet</t>
  </si>
  <si>
    <t>T.a.v. de heer K.  Tonet</t>
  </si>
  <si>
    <t>de heer K.  Tonet</t>
  </si>
  <si>
    <t>De heer K.  Tonet</t>
  </si>
  <si>
    <t>20 april 1991</t>
  </si>
  <si>
    <t>01 augustus 2020</t>
  </si>
  <si>
    <t>29 juni 2020</t>
  </si>
  <si>
    <t>E.M.</t>
  </si>
  <si>
    <t>uit dienst op overige gronden</t>
  </si>
  <si>
    <t>UWV-ontslagen</t>
  </si>
  <si>
    <t>niet meer inlenen/inhuren</t>
  </si>
  <si>
    <t>Bovengenoemd / rayon of meerdere</t>
  </si>
  <si>
    <t xml:space="preserve">Weteringslaan 32 </t>
  </si>
  <si>
    <t>1032 ZA Haarlem</t>
  </si>
  <si>
    <t>Datum:       21 juni 2020</t>
  </si>
  <si>
    <t>Betreft:       Verval functie 1e monteur en vaststelling boventalligheid</t>
  </si>
  <si>
    <t xml:space="preserve">De omstandigheden maken dat wij met elkaar gesproken hebben over de reorganisatie bij Transit. In dat gesprek heb ik je uitgelegd dat je functie van 1e monteur is komen te vervallen. Dat betekent dat je boventallig bent en we daarmee kijken naar de mogelijkheden om jou te herplaatsen. </t>
  </si>
  <si>
    <t>Geachte heer Verschuren, beste Erik,</t>
  </si>
  <si>
    <t>Onderstaande velden zijn niet opgenomen in deze demoversie</t>
  </si>
  <si>
    <t>De heer E. Verschuren</t>
  </si>
  <si>
    <t xml:space="preserve">Na het verval van jouw functie wat we je eerder in ons gesprek hebben uitgelegd en ook schriftelijk hebben bevestigd, is er door ons gekeken naar de eventuele mogelijkheden tot herplaatsing. We hebben dat deze week met elkaar besproken. </t>
  </si>
  <si>
    <t>Transit DC BV, gevestigd en kantoorhoudende aan de Spanjaardslaan 28 (1202 HG) te Amsterdam,te dezen rechtsgeldig vertegenwoordigd door de heer G. van Velden, hierna te noemen: werkgever</t>
  </si>
  <si>
    <t>Datum:       15 juli 2020</t>
  </si>
  <si>
    <t>Uw kenmerk:    ON-UWV-021</t>
  </si>
  <si>
    <t>Ref:                      TR_UW_893</t>
  </si>
  <si>
    <t>Uw kenmerk:    ZIE KENMERK VOOR DEZE WERKNEMER</t>
  </si>
  <si>
    <t>T.a.v. mevrouw S. de Koning, - Afdeling AJD</t>
  </si>
  <si>
    <t>Datum:               21 juni 2020</t>
  </si>
  <si>
    <t>Geachte mevrouw De Koning,</t>
  </si>
  <si>
    <t>Betreft:      Ontslag na toestemming UWV</t>
  </si>
  <si>
    <t>E.M.  Verschuren</t>
  </si>
  <si>
    <t>De heer E.M. Verschuren</t>
  </si>
  <si>
    <t>De heer E.M.  Verschuren, geboren op 20 april 1991, wonende aan Weteringslaan 32 (1032ZA) te Haarlem, hierna te noemen: werknemer.</t>
  </si>
  <si>
    <t>Betreft:               Verzoek tot intrekken van de procedure voor de heer E.M. Verschuren</t>
  </si>
  <si>
    <t>Betreft:               Verzoek om aanhouding i.v.m. bedenktijd in vaststellingsovereenkomst de heer E.M. Verschuren</t>
  </si>
  <si>
    <r>
      <rPr>
        <sz val="24"/>
        <color theme="1"/>
        <rFont val="Calibri"/>
        <family val="2"/>
        <scheme val="minor"/>
      </rPr>
      <t xml:space="preserve">Demobedrijf </t>
    </r>
    <r>
      <rPr>
        <b/>
        <sz val="24"/>
        <color theme="1"/>
        <rFont val="Calibri"/>
        <family val="2"/>
        <scheme val="minor"/>
      </rPr>
      <t>Transit</t>
    </r>
  </si>
  <si>
    <t>De toolbox levert alle documenten op maat aan voor iedere werknemer die in stap 3 is geselecteerd!</t>
  </si>
  <si>
    <t>Tussen partijen bestaat sinds 1 april 2016 een arbeidsovereenkomst op grond waarvan werknemer laatstelijk in de functie van 1e monteur werkzaam was, tegen een salaris van € 2100,- bruto exclusief emolumenten per maand.</t>
  </si>
  <si>
    <t>Verbod</t>
  </si>
  <si>
    <t>Toelichting afspiegeling en UWV-ontslag van 3 medewerkers</t>
  </si>
  <si>
    <t>In het overzicht is de datum in dienst onderstreept van de medewerkers die voor ontslag worden voorgedagen.</t>
  </si>
  <si>
    <t>Toelichting vertrek van 3 werknemers op overige gronden</t>
  </si>
  <si>
    <t>In deze functie eindigt het dienstverband van 3 medewerkers op andere wijze (AOW, VSO, Ontslagname of einde tijdelijk dienstverband binnen 26 weken). Bij de namen van de medewerkers staan de datums dat zij uit dienst treden.</t>
  </si>
  <si>
    <t>Toelichting vertrek van één flexibele kracht</t>
  </si>
  <si>
    <t>In de categorie flexibele krachten (uitzendkracht en ZZP-er) gaat het om één medewerker die niet meer ingeleend / ingehuurd zal worden.</t>
  </si>
  <si>
    <t>Onderstaande velden van formulier A zijn niet opgenomen in de demoversie!</t>
  </si>
  <si>
    <t xml:space="preserve">Vandaag is er persoonlijk met jou gesproken over de situatie en ontwikkelingen binnen Transit DC BV. Deze ontwikkelingen maken dat jouw functie van 1e monteur komt te vervallen. Hieronder volgt een nadere toelichting. </t>
  </si>
  <si>
    <t>Datum:               09 juni 2020</t>
  </si>
  <si>
    <t>Wat is de ontslagreden?</t>
  </si>
  <si>
    <t>Kies de reden voor ontslag</t>
  </si>
  <si>
    <t>Kies de reden om eerder te stoppen</t>
  </si>
  <si>
    <t>Wilt u de korte of complete route volgen?</t>
  </si>
  <si>
    <t>Korte route</t>
  </si>
  <si>
    <t>Complete route</t>
  </si>
  <si>
    <t>Voor (kleine) werkgevers die zo snel mogelijk een vertrekregeling willen voorstellen aan medewerkers</t>
  </si>
  <si>
    <t>Voor (grote) werkgevers die alle voorbereidingen willen treffen voor de start van de procedure</t>
  </si>
  <si>
    <t>Stap 5</t>
  </si>
  <si>
    <t xml:space="preserve">    Standaard vertrekregeling</t>
  </si>
  <si>
    <t>Stap 6</t>
  </si>
  <si>
    <t xml:space="preserve">       Invoer       </t>
  </si>
  <si>
    <t xml:space="preserve">De invoer bevat conceptteksten per branche of situatie. Met deze invoer geeft u effectief antwoord op alle vragen van het UWV.
De tool zet deze invoer om naar het UWV-formulier A (korte route) en  B en C (complete route) en alle andere documenten. </t>
  </si>
  <si>
    <r>
      <t>Fase 2 - vertrek van plaatsmakers</t>
    </r>
    <r>
      <rPr>
        <sz val="15"/>
        <rFont val="Calibri"/>
        <family val="2"/>
        <scheme val="minor"/>
      </rPr>
      <t xml:space="preserve"> </t>
    </r>
  </si>
  <si>
    <t>Fase 3 - verval functie &amp; herplaatsing</t>
  </si>
  <si>
    <t xml:space="preserve">Fase 4 - Wie wordt er ontslagen? </t>
  </si>
  <si>
    <t xml:space="preserve">U stopt met de uitzendkracht of ZZP-er als het gaat om: </t>
  </si>
  <si>
    <t xml:space="preserve">Welke functies laat u vervallen?
 - Als een functie volledig vervalt dan vult u hieronder "Ja" in. 
 - Als een functie deels vervalt gaat u afspiegelen:
</t>
  </si>
  <si>
    <t xml:space="preserve"> - Functies waar ontslagen vallen</t>
  </si>
  <si>
    <t xml:space="preserve"> - Oproepkrachten en medewerkers die zelf ontslag nemen
</t>
  </si>
  <si>
    <t xml:space="preserve"> - Tijdelijke contracten en AOW-ers die stoppen binnen 6 maanden</t>
  </si>
  <si>
    <t xml:space="preserve">Na het verval van de functie kijkt u naar herplaatsing. U kijkt of er een andere passende functie vrij komt binnen de termijn van herplaatsing. </t>
  </si>
  <si>
    <t>Naam</t>
  </si>
  <si>
    <t>Uitzendkrachten of ZZP-ers</t>
  </si>
  <si>
    <t>Selecteer de werknemer van wie de functie vervalt</t>
  </si>
  <si>
    <t>Opsturen brieven naar UWV</t>
  </si>
  <si>
    <t>Gesprek medewerker over ontslag en voorstel vertrekregeling (vso)</t>
  </si>
  <si>
    <t>Fase 1 - vertrek uitzendkracht &amp; ZZP-er</t>
  </si>
  <si>
    <t xml:space="preserve"> - Passende functies waarin anderen herplaats kunnen worden.</t>
  </si>
  <si>
    <t xml:space="preserve">De volgende medewerkers gaan plaatsmaken als zij een passende arbeidsplaats bezetten waarin anderen kunnen werken: </t>
  </si>
  <si>
    <r>
      <rPr>
        <b/>
        <i/>
        <sz val="10"/>
        <color theme="1"/>
        <rFont val="Calibri"/>
        <family val="2"/>
        <scheme val="minor"/>
      </rPr>
      <t xml:space="preserve">Alle medewerkers </t>
    </r>
    <r>
      <rPr>
        <i/>
        <sz val="10"/>
        <color theme="1"/>
        <rFont val="Calibri"/>
        <family val="2"/>
        <scheme val="minor"/>
      </rPr>
      <t>die op de peildatum in dienst zijn</t>
    </r>
  </si>
  <si>
    <r>
      <rPr>
        <b/>
        <i/>
        <sz val="10"/>
        <color theme="1"/>
        <rFont val="Calibri"/>
        <family val="2"/>
        <scheme val="minor"/>
      </rPr>
      <t>Plaatsmakers</t>
    </r>
    <r>
      <rPr>
        <i/>
        <sz val="10"/>
        <color theme="1"/>
        <rFont val="Calibri"/>
        <family val="2"/>
        <scheme val="minor"/>
      </rPr>
      <t xml:space="preserve">
Indien van toepassing kiest u voor "AOW",  "ontslagname","VSO" of "Einde-oproep"</t>
    </r>
  </si>
  <si>
    <t xml:space="preserve">Ontslag volgt voor medewerkers van wie de functie vervalt en die niet herplaatst kunnen worden. </t>
  </si>
  <si>
    <t>Het verval van de functie en het niet kunnen herplaatsen dient u per functie te motiveren:</t>
  </si>
  <si>
    <r>
      <rPr>
        <b/>
        <i/>
        <sz val="10"/>
        <color theme="1"/>
        <rFont val="Calibri"/>
        <family val="2"/>
        <scheme val="minor"/>
      </rPr>
      <t>Vervalt de functie?</t>
    </r>
    <r>
      <rPr>
        <i/>
        <sz val="10"/>
        <color theme="1"/>
        <rFont val="Calibri"/>
        <family val="2"/>
        <scheme val="minor"/>
      </rPr>
      <t xml:space="preserve">
</t>
    </r>
    <r>
      <rPr>
        <i/>
        <sz val="9"/>
        <color theme="1"/>
        <rFont val="Calibri"/>
        <family val="2"/>
        <scheme val="minor"/>
      </rPr>
      <t xml:space="preserve">Vul alleen "ja" in als dat het geval is.  </t>
    </r>
  </si>
  <si>
    <r>
      <rPr>
        <b/>
        <i/>
        <sz val="10"/>
        <color theme="1"/>
        <rFont val="Calibri"/>
        <family val="2"/>
        <scheme val="minor"/>
      </rPr>
      <t xml:space="preserve">Einddatum
</t>
    </r>
    <r>
      <rPr>
        <i/>
        <sz val="10"/>
        <color theme="1"/>
        <rFont val="Calibri"/>
        <family val="2"/>
        <scheme val="minor"/>
      </rPr>
      <t xml:space="preserve">als het contract eindigt? </t>
    </r>
  </si>
  <si>
    <r>
      <rPr>
        <b/>
        <i/>
        <sz val="10"/>
        <color theme="1"/>
        <rFont val="Calibri"/>
        <family val="2"/>
        <scheme val="minor"/>
      </rPr>
      <t xml:space="preserve">Soort contract </t>
    </r>
    <r>
      <rPr>
        <i/>
        <sz val="10"/>
        <color theme="1"/>
        <rFont val="Calibri"/>
        <family val="2"/>
        <scheme val="minor"/>
      </rPr>
      <t>Contract bepaalde of onbepaalde tijd</t>
    </r>
  </si>
  <si>
    <r>
      <rPr>
        <b/>
        <i/>
        <sz val="10"/>
        <color theme="1"/>
        <rFont val="Calibri"/>
        <family val="2"/>
        <scheme val="minor"/>
      </rPr>
      <t xml:space="preserve">Einddatum
</t>
    </r>
    <r>
      <rPr>
        <i/>
        <sz val="10"/>
        <color theme="1"/>
        <rFont val="Calibri"/>
        <family val="2"/>
        <scheme val="minor"/>
      </rPr>
      <t xml:space="preserve">als de uitzendkracht vertrekt </t>
    </r>
  </si>
  <si>
    <t xml:space="preserve"> - Medewerkers die vertrekken met een vaststellingsovereenkomst (VSO)</t>
  </si>
  <si>
    <r>
      <rPr>
        <b/>
        <i/>
        <sz val="10"/>
        <color theme="1"/>
        <rFont val="Calibri"/>
        <family val="2"/>
        <scheme val="minor"/>
      </rPr>
      <t xml:space="preserve">Vertrek
</t>
    </r>
    <r>
      <rPr>
        <i/>
        <sz val="10"/>
        <color theme="1"/>
        <rFont val="Calibri"/>
        <family val="2"/>
        <scheme val="minor"/>
      </rPr>
      <t xml:space="preserve">Moet de uitzendkracht of de ZZP-er vertrekken? </t>
    </r>
  </si>
  <si>
    <r>
      <t xml:space="preserve">Wie wordt er ontslagen?
</t>
    </r>
    <r>
      <rPr>
        <i/>
        <sz val="10"/>
        <color theme="1"/>
        <rFont val="Calibri"/>
        <family val="2"/>
        <scheme val="minor"/>
      </rPr>
      <t xml:space="preserve">Medewerkers die hieronder een "Ja" krijgen, zij krijgen een voorstel voor een vertrekregeling. Deze medewerkers komen op het ontslagoverzicht voor het UWV (dat is de bijlage bij formulier A voor het UWV). </t>
    </r>
  </si>
  <si>
    <t>Deze tool helpt grote en kleine werkgevers door een ontslagronde. De tool levert op maat alle benodigde documenten, van een vaststellings-overeenkomst tot alle brieven en formulieren voor het UWV.</t>
  </si>
  <si>
    <t>Versie juli 2020</t>
  </si>
  <si>
    <t>Concepten van de bijlagen</t>
  </si>
  <si>
    <t>De Toolbox helpt grote en kleine werkgevers stap voor stap door de ontslagronde!</t>
  </si>
  <si>
    <r>
      <rPr>
        <b/>
        <i/>
        <sz val="12"/>
        <color theme="1"/>
        <rFont val="Calibri"/>
        <family val="2"/>
        <scheme val="minor"/>
      </rPr>
      <t>€ 950,-</t>
    </r>
    <r>
      <rPr>
        <i/>
        <sz val="12"/>
        <color theme="1"/>
        <rFont val="Calibri"/>
        <family val="2"/>
        <scheme val="minor"/>
      </rPr>
      <t xml:space="preserve"> (excl. btw)</t>
    </r>
  </si>
  <si>
    <t xml:space="preserve">Wat kunt u met de toolbox? </t>
  </si>
  <si>
    <t xml:space="preserve">Binnen een dag heeft u alle benodigde stukken om medewerkers een voorstel te doen
</t>
  </si>
  <si>
    <t xml:space="preserve">Bereikt u geen overeenstemming, dan kunt u snel verder procederen bij het UWV
</t>
  </si>
  <si>
    <t>Met de tool kunt u morgen al in actie komen en snel verder procederen als dat nodig mocht zijn!</t>
  </si>
  <si>
    <t>Met de tool krijgt u op maat de vaststellingsovereenkomsten en brieven, naast de aankondiging (formulier A) dat u met de bijlage naar het UWV stuurt.</t>
  </si>
  <si>
    <t>Mocht u er samen niet uitkomen, dan kunt u het UWV laten weten dat u snel de complete aanvraag indient (formulier B en C met alle bijlagen)</t>
  </si>
  <si>
    <t>Peildatum 9-7-2020</t>
  </si>
  <si>
    <t xml:space="preserve">Het gaat om de reden voor het einde van het dienstverband. 
- Het kan gaan om bedrijfseconomisch ontslag (organisatorische redenen) of langdurige ziekte (meer dan 2 jaar), in welk geval de
   procedure via  het UWV verloopt. 
- Een dienstverband voor bepaalde tijd eindigt van rechtswege op de overeengekomen datum. Een eerder einde aan een tijdelijk
  dienstverband is mogelijk als daar voor bedrijfseconomische redenen zijn (UWV) of persoonlijke redenen (kantonrechter). 
- Bij ontslag op staande voet heeft de werknemer een dringende reden gegeven waarom het dienstverband per direct wordt opgezegd
  (zonder opzegtermijn en vergoeding). 
- In alle andere gevallen zal het dienstverband eindigen op persoonlijke gronden door een ontbinding door de kantonrechter
  (disfunctioneren, ernstig verwijtbaar handelen, verstoorde verhouding of een combinatie van gronden). </t>
  </si>
  <si>
    <t>Wanneer u kiest voor een ontslagreden waarbij de kantonrechter bevoegd is, dan kunt u de kans van slagen van de werkgever invullen voor de volgende opties, namelijk:</t>
  </si>
  <si>
    <t xml:space="preserve">S. </t>
  </si>
  <si>
    <t>4</t>
  </si>
  <si>
    <r>
      <rPr>
        <sz val="24"/>
        <color theme="1"/>
        <rFont val="Calibri"/>
        <family val="2"/>
        <scheme val="minor"/>
      </rPr>
      <t>Demobedrijf</t>
    </r>
    <r>
      <rPr>
        <b/>
        <sz val="24"/>
        <color theme="1"/>
        <rFont val="Calibri"/>
        <family val="2"/>
        <scheme val="minor"/>
      </rPr>
      <t xml:space="preserve"> Transit</t>
    </r>
  </si>
  <si>
    <t xml:space="preserve">Demoversie met fictieve namen </t>
  </si>
  <si>
    <r>
      <rPr>
        <b/>
        <sz val="24"/>
        <color rgb="FF0070C0"/>
        <rFont val="Calibri"/>
        <family val="2"/>
        <scheme val="minor"/>
      </rPr>
      <t>Demo</t>
    </r>
    <r>
      <rPr>
        <b/>
        <sz val="24"/>
        <color theme="1"/>
        <rFont val="Calibri"/>
        <family val="2"/>
        <scheme val="minor"/>
      </rPr>
      <t>versie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</si>
</sst>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413]d\ mmmm\ yyyy;@"/>
    <numFmt numFmtId="166" formatCode="0.0000"/>
  </numFmts>
  <fonts count="184" x14ac:knownFonts="1">
    <font>
      <sz val="11"/>
      <color theme="1"/>
      <name val="Calibri"/>
      <family val="2"/>
      <scheme val="minor"/>
    </font>
    <font>
      <b/>
      <sz val="11"/>
      <color theme="1"/>
      <name val="Calibri"/>
      <family val="2"/>
      <scheme val="minor"/>
    </font>
    <font>
      <sz val="11"/>
      <color rgb="FFFF0000"/>
      <name val="Calibri"/>
      <family val="2"/>
      <scheme val="minor"/>
    </font>
    <font>
      <sz val="11"/>
      <color theme="0" tint="-0.34998626667073579"/>
      <name val="Calibri"/>
      <family val="2"/>
      <scheme val="minor"/>
    </font>
    <font>
      <sz val="8"/>
      <color rgb="FF000000"/>
      <name val="Segoe UI"/>
      <family val="2"/>
    </font>
    <font>
      <b/>
      <sz val="11"/>
      <color theme="0" tint="-0.34998626667073579"/>
      <name val="Calibri"/>
      <family val="2"/>
      <scheme val="minor"/>
    </font>
    <font>
      <sz val="9"/>
      <color indexed="81"/>
      <name val="Tahoma"/>
      <family val="2"/>
    </font>
    <font>
      <b/>
      <sz val="9"/>
      <color indexed="81"/>
      <name val="Tahoma"/>
      <family val="2"/>
    </font>
    <font>
      <sz val="11"/>
      <color theme="8" tint="-0.249977111117893"/>
      <name val="Calibri"/>
      <family val="2"/>
      <scheme val="minor"/>
    </font>
    <font>
      <b/>
      <sz val="11"/>
      <color theme="8" tint="-0.249977111117893"/>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1"/>
      <color rgb="FFFF0000"/>
      <name val="Calibri"/>
      <family val="2"/>
      <scheme val="minor"/>
    </font>
    <font>
      <i/>
      <sz val="11"/>
      <color theme="1"/>
      <name val="Calibri"/>
      <family val="2"/>
      <scheme val="minor"/>
    </font>
    <font>
      <b/>
      <sz val="14"/>
      <color theme="8" tint="-0.249977111117893"/>
      <name val="Calibri"/>
      <family val="2"/>
      <scheme val="minor"/>
    </font>
    <font>
      <sz val="16"/>
      <color theme="0" tint="-0.34998626667073579"/>
      <name val="Calibri"/>
      <family val="2"/>
      <scheme val="minor"/>
    </font>
    <font>
      <sz val="10"/>
      <color theme="1"/>
      <name val="Calibri"/>
      <family val="2"/>
      <scheme val="minor"/>
    </font>
    <font>
      <sz val="10"/>
      <color rgb="FFFF0000"/>
      <name val="Calibri"/>
      <family val="2"/>
      <scheme val="minor"/>
    </font>
    <font>
      <sz val="10"/>
      <color theme="8"/>
      <name val="Calibri"/>
      <family val="2"/>
      <scheme val="minor"/>
    </font>
    <font>
      <u/>
      <sz val="11"/>
      <color theme="10"/>
      <name val="Calibri"/>
      <family val="2"/>
      <scheme val="minor"/>
    </font>
    <font>
      <sz val="18"/>
      <color theme="8"/>
      <name val="Calibri"/>
      <family val="2"/>
      <scheme val="minor"/>
    </font>
    <font>
      <sz val="18"/>
      <color theme="1"/>
      <name val="Calibri"/>
      <family val="2"/>
      <scheme val="minor"/>
    </font>
    <font>
      <b/>
      <sz val="15"/>
      <color theme="8"/>
      <name val="Calibri"/>
      <family val="2"/>
      <scheme val="minor"/>
    </font>
    <font>
      <sz val="10"/>
      <color rgb="FF222222"/>
      <name val="Arial"/>
      <family val="2"/>
    </font>
    <font>
      <b/>
      <sz val="11"/>
      <name val="Calibri"/>
      <family val="2"/>
      <scheme val="minor"/>
    </font>
    <font>
      <sz val="11"/>
      <name val="Calibri"/>
      <family val="2"/>
      <scheme val="minor"/>
    </font>
    <font>
      <sz val="9"/>
      <color theme="1"/>
      <name val="Calibri"/>
      <family val="2"/>
      <scheme val="minor"/>
    </font>
    <font>
      <sz val="12"/>
      <color theme="1"/>
      <name val="Calibri"/>
      <family val="2"/>
      <scheme val="minor"/>
    </font>
    <font>
      <b/>
      <sz val="11"/>
      <color theme="8"/>
      <name val="Calibri"/>
      <family val="2"/>
      <scheme val="minor"/>
    </font>
    <font>
      <sz val="9"/>
      <name val="Calibri"/>
      <family val="2"/>
      <scheme val="minor"/>
    </font>
    <font>
      <sz val="11"/>
      <color theme="1"/>
      <name val="Calibri"/>
      <family val="2"/>
      <scheme val="minor"/>
    </font>
    <font>
      <b/>
      <i/>
      <sz val="24"/>
      <name val="Calibri"/>
      <family val="2"/>
      <scheme val="minor"/>
    </font>
    <font>
      <b/>
      <sz val="11"/>
      <color rgb="FF222222"/>
      <name val="Calibri"/>
      <family val="2"/>
      <scheme val="minor"/>
    </font>
    <font>
      <sz val="11"/>
      <color rgb="FF222222"/>
      <name val="Calibri"/>
      <family val="2"/>
      <scheme val="minor"/>
    </font>
    <font>
      <b/>
      <sz val="14"/>
      <color theme="8"/>
      <name val="Calibri"/>
      <family val="2"/>
      <scheme val="minor"/>
    </font>
    <font>
      <b/>
      <sz val="24"/>
      <name val="Calibri"/>
      <family val="2"/>
      <scheme val="minor"/>
    </font>
    <font>
      <b/>
      <sz val="24"/>
      <color theme="8"/>
      <name val="Calibri"/>
      <family val="2"/>
      <scheme val="minor"/>
    </font>
    <font>
      <sz val="14"/>
      <color theme="8"/>
      <name val="Calibri"/>
      <family val="2"/>
      <scheme val="minor"/>
    </font>
    <font>
      <b/>
      <i/>
      <sz val="24"/>
      <color theme="8"/>
      <name val="Calibri"/>
      <family val="2"/>
      <scheme val="minor"/>
    </font>
    <font>
      <b/>
      <i/>
      <sz val="30"/>
      <name val="Calibri"/>
      <family val="2"/>
      <scheme val="minor"/>
    </font>
    <font>
      <b/>
      <sz val="24"/>
      <color theme="1"/>
      <name val="Calibri"/>
      <family val="2"/>
      <scheme val="minor"/>
    </font>
    <font>
      <b/>
      <i/>
      <sz val="11"/>
      <color theme="1"/>
      <name val="Calibri"/>
      <family val="2"/>
      <scheme val="minor"/>
    </font>
    <font>
      <b/>
      <i/>
      <sz val="11"/>
      <color theme="1" tint="0.249977111117893"/>
      <name val="Calibri"/>
      <family val="2"/>
      <scheme val="minor"/>
    </font>
    <font>
      <sz val="11"/>
      <color theme="1" tint="0.249977111117893"/>
      <name val="Calibri"/>
      <family val="2"/>
      <scheme val="minor"/>
    </font>
    <font>
      <i/>
      <sz val="10"/>
      <color theme="1" tint="0.249977111117893"/>
      <name val="Calibri"/>
      <family val="2"/>
      <scheme val="minor"/>
    </font>
    <font>
      <sz val="11"/>
      <color theme="1"/>
      <name val="Calibri"/>
      <family val="2"/>
    </font>
    <font>
      <i/>
      <sz val="10"/>
      <color theme="8" tint="-0.249977111117893"/>
      <name val="Calibri"/>
      <family val="2"/>
      <scheme val="minor"/>
    </font>
    <font>
      <b/>
      <u/>
      <sz val="13"/>
      <color theme="1"/>
      <name val="Calibri"/>
      <family val="2"/>
    </font>
    <font>
      <b/>
      <sz val="13"/>
      <color theme="1"/>
      <name val="Calibri"/>
      <family val="2"/>
    </font>
    <font>
      <b/>
      <sz val="12"/>
      <color theme="1"/>
      <name val="Calibri"/>
      <family val="2"/>
    </font>
    <font>
      <sz val="12"/>
      <color theme="1"/>
      <name val="Calibri"/>
      <family val="2"/>
    </font>
    <font>
      <b/>
      <sz val="11"/>
      <color theme="1"/>
      <name val="Calibri"/>
      <family val="2"/>
    </font>
    <font>
      <sz val="11"/>
      <color rgb="FF000000"/>
      <name val="Calibri"/>
      <family val="2"/>
    </font>
    <font>
      <sz val="11"/>
      <color rgb="FF000000"/>
      <name val="Calibri"/>
      <family val="2"/>
      <scheme val="minor"/>
    </font>
    <font>
      <i/>
      <sz val="12"/>
      <color theme="1" tint="0.249977111117893"/>
      <name val="Calibri"/>
      <family val="2"/>
      <scheme val="minor"/>
    </font>
    <font>
      <b/>
      <i/>
      <sz val="24"/>
      <color theme="1"/>
      <name val="Calibri"/>
      <family val="2"/>
      <scheme val="minor"/>
    </font>
    <font>
      <b/>
      <i/>
      <sz val="8"/>
      <color theme="1"/>
      <name val="Calibri"/>
      <family val="2"/>
      <scheme val="minor"/>
    </font>
    <font>
      <i/>
      <sz val="8"/>
      <color theme="1"/>
      <name val="Calibri"/>
      <family val="2"/>
      <scheme val="minor"/>
    </font>
    <font>
      <i/>
      <sz val="8"/>
      <name val="Calibri"/>
      <family val="2"/>
      <scheme val="minor"/>
    </font>
    <font>
      <b/>
      <i/>
      <sz val="14"/>
      <color theme="8"/>
      <name val="Calibri"/>
      <family val="2"/>
      <scheme val="minor"/>
    </font>
    <font>
      <b/>
      <i/>
      <sz val="12"/>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i/>
      <sz val="10"/>
      <color theme="1"/>
      <name val="Calibri"/>
      <family val="2"/>
      <scheme val="minor"/>
    </font>
    <font>
      <b/>
      <i/>
      <sz val="10"/>
      <color theme="1"/>
      <name val="Calibri"/>
      <family val="2"/>
      <scheme val="minor"/>
    </font>
    <font>
      <i/>
      <u/>
      <sz val="10"/>
      <color theme="10"/>
      <name val="Calibri"/>
      <family val="2"/>
      <scheme val="minor"/>
    </font>
    <font>
      <sz val="10"/>
      <name val="Calibri"/>
      <family val="2"/>
      <scheme val="minor"/>
    </font>
    <font>
      <b/>
      <sz val="10"/>
      <color theme="8"/>
      <name val="Calibri"/>
      <family val="2"/>
      <scheme val="minor"/>
    </font>
    <font>
      <b/>
      <sz val="10"/>
      <color theme="2" tint="-0.749992370372631"/>
      <name val="Calibri"/>
      <family val="2"/>
      <scheme val="minor"/>
    </font>
    <font>
      <sz val="10"/>
      <color theme="0" tint="-0.249977111117893"/>
      <name val="Calibri"/>
      <family val="2"/>
      <scheme val="minor"/>
    </font>
    <font>
      <b/>
      <sz val="10"/>
      <name val="Calibri"/>
      <family val="2"/>
      <scheme val="minor"/>
    </font>
    <font>
      <sz val="10"/>
      <color theme="9"/>
      <name val="Calibri"/>
      <family val="2"/>
      <scheme val="minor"/>
    </font>
    <font>
      <b/>
      <sz val="10"/>
      <color rgb="FF222222"/>
      <name val="Calibri"/>
      <family val="2"/>
      <scheme val="minor"/>
    </font>
    <font>
      <sz val="10"/>
      <color rgb="FF222222"/>
      <name val="Calibri"/>
      <family val="2"/>
      <scheme val="minor"/>
    </font>
    <font>
      <b/>
      <i/>
      <sz val="11"/>
      <name val="Calibri"/>
      <family val="2"/>
      <scheme val="minor"/>
    </font>
    <font>
      <b/>
      <sz val="10"/>
      <color rgb="FFFF0000"/>
      <name val="Calibri"/>
      <family val="2"/>
      <scheme val="minor"/>
    </font>
    <font>
      <i/>
      <sz val="9"/>
      <color rgb="FFFF0000"/>
      <name val="Calibri"/>
      <family val="2"/>
      <scheme val="minor"/>
    </font>
    <font>
      <b/>
      <i/>
      <sz val="60"/>
      <color rgb="FF82A1D8"/>
      <name val="Calibri"/>
      <family val="2"/>
      <scheme val="minor"/>
    </font>
    <font>
      <i/>
      <u/>
      <sz val="9"/>
      <color theme="10"/>
      <name val="Calibri"/>
      <family val="2"/>
      <scheme val="minor"/>
    </font>
    <font>
      <i/>
      <sz val="10"/>
      <color theme="10"/>
      <name val="Calibri"/>
      <family val="2"/>
      <scheme val="minor"/>
    </font>
    <font>
      <b/>
      <sz val="9"/>
      <color theme="1"/>
      <name val="Calibri"/>
      <family val="2"/>
      <scheme val="minor"/>
    </font>
    <font>
      <sz val="9"/>
      <color theme="9" tint="-0.249977111117893"/>
      <name val="Calibri"/>
      <family val="2"/>
      <scheme val="minor"/>
    </font>
    <font>
      <b/>
      <sz val="9"/>
      <name val="Calibri"/>
      <family val="2"/>
      <scheme val="minor"/>
    </font>
    <font>
      <sz val="9"/>
      <color theme="2" tint="-0.749992370372631"/>
      <name val="Calibri"/>
      <family val="2"/>
      <scheme val="minor"/>
    </font>
    <font>
      <sz val="10"/>
      <color theme="9" tint="-0.249977111117893"/>
      <name val="Calibri"/>
      <family val="2"/>
      <scheme val="minor"/>
    </font>
    <font>
      <sz val="10"/>
      <color theme="2" tint="-0.249977111117893"/>
      <name val="Calibri"/>
      <family val="2"/>
      <scheme val="minor"/>
    </font>
    <font>
      <i/>
      <sz val="12"/>
      <color theme="1"/>
      <name val="Calibri"/>
      <family val="2"/>
      <scheme val="minor"/>
    </font>
    <font>
      <b/>
      <sz val="12"/>
      <color theme="8"/>
      <name val="Calibri"/>
      <family val="2"/>
      <scheme val="minor"/>
    </font>
    <font>
      <b/>
      <i/>
      <sz val="12"/>
      <color theme="1"/>
      <name val="Calibri"/>
      <family val="2"/>
      <scheme val="minor"/>
    </font>
    <font>
      <b/>
      <i/>
      <sz val="14"/>
      <name val="Calibri"/>
      <family val="2"/>
      <scheme val="minor"/>
    </font>
    <font>
      <b/>
      <sz val="15"/>
      <color theme="1"/>
      <name val="Calibri"/>
      <family val="2"/>
      <scheme val="minor"/>
    </font>
    <font>
      <b/>
      <i/>
      <sz val="14"/>
      <color theme="1"/>
      <name val="Calibri"/>
      <family val="2"/>
      <scheme val="minor"/>
    </font>
    <font>
      <u/>
      <sz val="12"/>
      <color theme="10"/>
      <name val="Calibri"/>
      <family val="2"/>
      <scheme val="minor"/>
    </font>
    <font>
      <sz val="15"/>
      <color theme="8"/>
      <name val="Calibri"/>
      <family val="2"/>
      <scheme val="minor"/>
    </font>
    <font>
      <i/>
      <sz val="15"/>
      <name val="Calibri"/>
      <family val="2"/>
      <scheme val="minor"/>
    </font>
    <font>
      <sz val="10"/>
      <color rgb="FF0066FF"/>
      <name val="Calibri"/>
      <family val="2"/>
      <scheme val="minor"/>
    </font>
    <font>
      <sz val="15"/>
      <color rgb="FF0066FF"/>
      <name val="Calibri"/>
      <family val="2"/>
      <scheme val="minor"/>
    </font>
    <font>
      <i/>
      <sz val="15"/>
      <color rgb="FF0066FF"/>
      <name val="Calibri"/>
      <family val="2"/>
      <scheme val="minor"/>
    </font>
    <font>
      <sz val="15"/>
      <color theme="0"/>
      <name val="Calibri"/>
      <family val="2"/>
      <scheme val="minor"/>
    </font>
    <font>
      <b/>
      <i/>
      <sz val="13"/>
      <color theme="1"/>
      <name val="Calibri"/>
      <family val="2"/>
      <scheme val="minor"/>
    </font>
    <font>
      <i/>
      <u/>
      <sz val="10"/>
      <color theme="8"/>
      <name val="Calibri"/>
      <family val="2"/>
      <scheme val="minor"/>
    </font>
    <font>
      <sz val="12"/>
      <color theme="8"/>
      <name val="Calibri"/>
      <family val="2"/>
      <scheme val="minor"/>
    </font>
    <font>
      <b/>
      <sz val="10"/>
      <color rgb="FF0062C4"/>
      <name val="Calibri"/>
      <family val="2"/>
      <scheme val="minor"/>
    </font>
    <font>
      <i/>
      <sz val="10"/>
      <color rgb="FF666666"/>
      <name val="Calibri"/>
      <family val="2"/>
      <scheme val="minor"/>
    </font>
    <font>
      <sz val="10"/>
      <color rgb="FF666666"/>
      <name val="Calibri"/>
      <family val="2"/>
      <scheme val="minor"/>
    </font>
    <font>
      <sz val="10"/>
      <color rgb="FF006ACA"/>
      <name val="Calibri"/>
      <family val="2"/>
      <scheme val="minor"/>
    </font>
    <font>
      <i/>
      <sz val="10"/>
      <name val="Calibri"/>
      <family val="2"/>
      <scheme val="minor"/>
    </font>
    <font>
      <b/>
      <i/>
      <sz val="10"/>
      <color theme="8"/>
      <name val="Calibri"/>
      <family val="2"/>
      <scheme val="minor"/>
    </font>
    <font>
      <i/>
      <sz val="10"/>
      <color rgb="FFFF0000"/>
      <name val="Calibri"/>
      <family val="2"/>
      <scheme val="minor"/>
    </font>
    <font>
      <b/>
      <sz val="30"/>
      <color theme="8"/>
      <name val="Calibri"/>
      <family val="2"/>
      <scheme val="minor"/>
    </font>
    <font>
      <i/>
      <sz val="9"/>
      <color theme="1"/>
      <name val="Calibri"/>
      <family val="2"/>
      <scheme val="minor"/>
    </font>
    <font>
      <b/>
      <i/>
      <sz val="10"/>
      <name val="Calibri"/>
      <family val="2"/>
      <scheme val="minor"/>
    </font>
    <font>
      <sz val="12"/>
      <name val="Calibri"/>
      <family val="2"/>
      <scheme val="minor"/>
    </font>
    <font>
      <b/>
      <u/>
      <sz val="10"/>
      <color theme="1"/>
      <name val="Calibri"/>
      <family val="2"/>
      <scheme val="minor"/>
    </font>
    <font>
      <b/>
      <sz val="14"/>
      <name val="Calibri"/>
      <family val="2"/>
      <scheme val="minor"/>
    </font>
    <font>
      <b/>
      <sz val="12"/>
      <color theme="1"/>
      <name val="Calibri"/>
      <family val="2"/>
      <scheme val="minor"/>
    </font>
    <font>
      <i/>
      <sz val="14"/>
      <name val="Calibri"/>
      <family val="2"/>
      <scheme val="minor"/>
    </font>
    <font>
      <b/>
      <sz val="10"/>
      <color theme="4"/>
      <name val="Calibri"/>
      <family val="2"/>
      <scheme val="minor"/>
    </font>
    <font>
      <i/>
      <sz val="10"/>
      <color theme="8"/>
      <name val="Calibri"/>
      <family val="2"/>
      <scheme val="minor"/>
    </font>
    <font>
      <b/>
      <sz val="17"/>
      <color theme="1"/>
      <name val="Calibri"/>
      <family val="2"/>
      <scheme val="minor"/>
    </font>
    <font>
      <sz val="10"/>
      <color rgb="FFEBF7FF"/>
      <name val="Calibri"/>
      <family val="2"/>
      <scheme val="minor"/>
    </font>
    <font>
      <sz val="11"/>
      <color theme="0"/>
      <name val="Calibri"/>
      <family val="2"/>
      <scheme val="minor"/>
    </font>
    <font>
      <b/>
      <sz val="20"/>
      <color theme="8"/>
      <name val="Calibri"/>
      <family val="2"/>
      <scheme val="minor"/>
    </font>
    <font>
      <b/>
      <i/>
      <sz val="20"/>
      <color theme="1"/>
      <name val="Calibri"/>
      <family val="2"/>
      <scheme val="minor"/>
    </font>
    <font>
      <b/>
      <u/>
      <sz val="11"/>
      <color rgb="FFFF0000"/>
      <name val="Calibri"/>
      <family val="2"/>
      <scheme val="minor"/>
    </font>
    <font>
      <b/>
      <sz val="20"/>
      <color theme="0"/>
      <name val="Calibri"/>
      <family val="2"/>
      <scheme val="minor"/>
    </font>
    <font>
      <sz val="20"/>
      <color theme="0"/>
      <name val="Calibri"/>
      <family val="2"/>
      <scheme val="minor"/>
    </font>
    <font>
      <i/>
      <u/>
      <sz val="10"/>
      <color theme="1"/>
      <name val="Calibri"/>
      <family val="2"/>
      <scheme val="minor"/>
    </font>
    <font>
      <b/>
      <sz val="18"/>
      <color theme="1"/>
      <name val="Calibri"/>
      <family val="2"/>
      <scheme val="minor"/>
    </font>
    <font>
      <i/>
      <sz val="9"/>
      <color theme="4" tint="0.79998168889431442"/>
      <name val="Calibri"/>
      <family val="2"/>
      <scheme val="minor"/>
    </font>
    <font>
      <i/>
      <sz val="9"/>
      <name val="Calibri"/>
      <family val="2"/>
      <scheme val="minor"/>
    </font>
    <font>
      <i/>
      <sz val="9"/>
      <color rgb="FFE5F4FF"/>
      <name val="Calibri"/>
      <family val="2"/>
      <scheme val="minor"/>
    </font>
    <font>
      <i/>
      <sz val="12"/>
      <name val="Calibri"/>
      <family val="2"/>
      <scheme val="minor"/>
    </font>
    <font>
      <i/>
      <sz val="14"/>
      <color theme="8"/>
      <name val="Calibri"/>
      <family val="2"/>
      <scheme val="minor"/>
    </font>
    <font>
      <b/>
      <i/>
      <sz val="12"/>
      <color theme="8"/>
      <name val="Calibri"/>
      <family val="2"/>
      <scheme val="minor"/>
    </font>
    <font>
      <b/>
      <sz val="10"/>
      <color theme="0"/>
      <name val="Calibri"/>
      <family val="2"/>
      <scheme val="minor"/>
    </font>
    <font>
      <sz val="10"/>
      <color theme="0"/>
      <name val="Calibri"/>
      <family val="2"/>
      <scheme val="minor"/>
    </font>
    <font>
      <i/>
      <sz val="11"/>
      <color theme="0"/>
      <name val="Calibri"/>
      <family val="2"/>
      <scheme val="minor"/>
    </font>
    <font>
      <b/>
      <sz val="14"/>
      <color theme="0"/>
      <name val="Calibri"/>
      <family val="2"/>
      <scheme val="minor"/>
    </font>
    <font>
      <i/>
      <sz val="12"/>
      <color theme="0"/>
      <name val="Calibri"/>
      <family val="2"/>
      <scheme val="minor"/>
    </font>
    <font>
      <b/>
      <i/>
      <sz val="12"/>
      <color theme="0"/>
      <name val="Calibri"/>
      <family val="2"/>
      <scheme val="minor"/>
    </font>
    <font>
      <sz val="20"/>
      <color theme="1"/>
      <name val="Calibri"/>
      <family val="2"/>
      <scheme val="minor"/>
    </font>
    <font>
      <sz val="11"/>
      <color rgb="FFDDEBF7"/>
      <name val="Calibri"/>
      <family val="2"/>
      <scheme val="minor"/>
    </font>
    <font>
      <b/>
      <i/>
      <sz val="40"/>
      <color rgb="FF82A1D8"/>
      <name val="Calibri"/>
      <family val="2"/>
      <scheme val="minor"/>
    </font>
    <font>
      <b/>
      <i/>
      <sz val="45"/>
      <color rgb="FF82A1D8"/>
      <name val="Calibri"/>
      <family val="2"/>
      <scheme val="minor"/>
    </font>
    <font>
      <b/>
      <sz val="20"/>
      <color theme="1"/>
      <name val="Calibri"/>
      <family val="2"/>
      <scheme val="minor"/>
    </font>
    <font>
      <sz val="225"/>
      <color theme="1"/>
      <name val="Abadi Extra Light"/>
      <family val="2"/>
    </font>
    <font>
      <b/>
      <i/>
      <sz val="16"/>
      <name val="Calibri"/>
      <family val="2"/>
      <scheme val="minor"/>
    </font>
    <font>
      <i/>
      <sz val="15"/>
      <color theme="1"/>
      <name val="Calibri"/>
      <family val="2"/>
      <scheme val="minor"/>
    </font>
    <font>
      <i/>
      <sz val="13"/>
      <color theme="1"/>
      <name val="Calibri"/>
      <family val="2"/>
      <scheme val="minor"/>
    </font>
    <font>
      <b/>
      <sz val="18"/>
      <color rgb="FF000000"/>
      <name val="Lato"/>
      <family val="2"/>
    </font>
    <font>
      <b/>
      <sz val="16"/>
      <color rgb="FF000000"/>
      <name val="Lato"/>
      <family val="2"/>
    </font>
    <font>
      <b/>
      <sz val="11"/>
      <color rgb="FF0C71C3"/>
      <name val="Lato"/>
      <family val="2"/>
    </font>
    <font>
      <b/>
      <sz val="24"/>
      <color rgb="FF000000"/>
      <name val="Lato"/>
      <family val="2"/>
    </font>
    <font>
      <b/>
      <sz val="24"/>
      <color theme="8"/>
      <name val="Lato"/>
      <family val="2"/>
    </font>
    <font>
      <sz val="24"/>
      <color rgb="FF000000"/>
      <name val="Lato"/>
      <family val="2"/>
    </font>
    <font>
      <b/>
      <i/>
      <sz val="15"/>
      <color rgb="FF000000"/>
      <name val="Lato"/>
      <family val="2"/>
    </font>
    <font>
      <b/>
      <sz val="11"/>
      <color theme="1"/>
      <name val="Lato"/>
      <family val="2"/>
    </font>
    <font>
      <b/>
      <sz val="14"/>
      <color rgb="FF0C71C3"/>
      <name val="Calibri"/>
      <family val="2"/>
      <scheme val="minor"/>
    </font>
    <font>
      <b/>
      <sz val="14"/>
      <color rgb="FF000000"/>
      <name val="Calibri"/>
      <family val="2"/>
      <scheme val="minor"/>
    </font>
    <font>
      <sz val="14"/>
      <color rgb="FF000000"/>
      <name val="Calibri"/>
      <family val="2"/>
      <scheme val="minor"/>
    </font>
    <font>
      <b/>
      <sz val="18"/>
      <name val="Calibri"/>
      <family val="2"/>
      <scheme val="minor"/>
    </font>
    <font>
      <sz val="18"/>
      <name val="Calibri"/>
      <family val="2"/>
      <scheme val="minor"/>
    </font>
    <font>
      <b/>
      <sz val="25"/>
      <color rgb="FF0070C0"/>
      <name val="Calibri"/>
      <family val="2"/>
      <scheme val="minor"/>
    </font>
    <font>
      <i/>
      <sz val="11"/>
      <color theme="1"/>
      <name val="Calibri"/>
      <family val="2"/>
    </font>
    <font>
      <b/>
      <sz val="13"/>
      <color rgb="FFFF0000"/>
      <name val="Calibri"/>
      <family val="2"/>
      <scheme val="minor"/>
    </font>
    <font>
      <b/>
      <sz val="16"/>
      <color rgb="FF000000"/>
      <name val="Calibri"/>
      <family val="2"/>
      <scheme val="minor"/>
    </font>
    <font>
      <sz val="7"/>
      <color theme="1"/>
      <name val="Calibri"/>
      <family val="2"/>
      <scheme val="minor"/>
    </font>
    <font>
      <i/>
      <sz val="7"/>
      <color theme="1"/>
      <name val="Calibri"/>
      <family val="2"/>
      <scheme val="minor"/>
    </font>
    <font>
      <b/>
      <u/>
      <sz val="10"/>
      <color rgb="FFFF0000"/>
      <name val="Calibri"/>
      <family val="2"/>
      <scheme val="minor"/>
    </font>
    <font>
      <sz val="24"/>
      <color theme="1"/>
      <name val="Calibri"/>
      <family val="2"/>
      <scheme val="minor"/>
    </font>
    <font>
      <b/>
      <sz val="22"/>
      <color theme="8"/>
      <name val="Calibri"/>
      <family val="2"/>
      <scheme val="minor"/>
    </font>
    <font>
      <sz val="13"/>
      <color theme="1"/>
      <name val="Calibri"/>
      <family val="2"/>
      <scheme val="minor"/>
    </font>
    <font>
      <b/>
      <i/>
      <sz val="11"/>
      <color rgb="FF0062C4"/>
      <name val="Calibri"/>
      <family val="2"/>
      <scheme val="minor"/>
    </font>
    <font>
      <b/>
      <i/>
      <sz val="10"/>
      <color theme="1" tint="0.34998626667073579"/>
      <name val="Calibri"/>
      <family val="2"/>
      <scheme val="minor"/>
    </font>
    <font>
      <i/>
      <sz val="10"/>
      <color theme="1" tint="0.34998626667073579"/>
      <name val="Calibri"/>
      <family val="2"/>
      <scheme val="minor"/>
    </font>
    <font>
      <sz val="10"/>
      <color theme="1" tint="0.34998626667073579"/>
      <name val="Calibri"/>
      <family val="2"/>
      <scheme val="minor"/>
    </font>
    <font>
      <b/>
      <sz val="10"/>
      <color theme="1" tint="0.34998626667073579"/>
      <name val="Calibri"/>
      <family val="2"/>
      <scheme val="minor"/>
    </font>
    <font>
      <b/>
      <sz val="13"/>
      <color theme="1"/>
      <name val="Calibri"/>
      <family val="2"/>
      <scheme val="minor"/>
    </font>
    <font>
      <sz val="15"/>
      <name val="Calibri"/>
      <family val="2"/>
      <scheme val="minor"/>
    </font>
    <font>
      <i/>
      <sz val="14"/>
      <color theme="1"/>
      <name val="Calibri"/>
      <family val="2"/>
      <scheme val="minor"/>
    </font>
    <font>
      <b/>
      <sz val="24"/>
      <color rgb="FF0070C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F2FF"/>
        <bgColor indexed="64"/>
      </patternFill>
    </fill>
    <fill>
      <patternFill patternType="solid">
        <fgColor theme="8" tint="0.39997558519241921"/>
        <bgColor indexed="64"/>
      </patternFill>
    </fill>
    <fill>
      <patternFill patternType="solid">
        <fgColor rgb="FFEBF7FF"/>
        <bgColor indexed="64"/>
      </patternFill>
    </fill>
    <fill>
      <patternFill patternType="solid">
        <fgColor rgb="FFE5F4FF"/>
        <bgColor indexed="64"/>
      </patternFill>
    </fill>
    <fill>
      <patternFill patternType="solid">
        <fgColor theme="8"/>
        <bgColor indexed="64"/>
      </patternFill>
    </fill>
    <fill>
      <patternFill patternType="solid">
        <fgColor rgb="FF0062C4"/>
        <bgColor indexed="64"/>
      </patternFill>
    </fill>
    <fill>
      <patternFill patternType="solid">
        <fgColor rgb="FFFFFFFF"/>
        <bgColor indexed="64"/>
      </patternFill>
    </fill>
    <fill>
      <patternFill patternType="solid">
        <fgColor rgb="FFDDEBF7"/>
        <bgColor indexed="64"/>
      </patternFill>
    </fill>
    <fill>
      <patternFill patternType="solid">
        <fgColor theme="5" tint="0.39997558519241921"/>
        <bgColor indexed="64"/>
      </patternFill>
    </fill>
    <fill>
      <patternFill patternType="solid">
        <fgColor rgb="FFFFFFCC"/>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964">
    <xf numFmtId="0" fontId="0" fillId="0" borderId="0" xfId="0"/>
    <xf numFmtId="0" fontId="17" fillId="0" borderId="0" xfId="0" applyFont="1"/>
    <xf numFmtId="0" fontId="17" fillId="0" borderId="0" xfId="0" applyFont="1" applyAlignment="1">
      <alignment horizontal="left"/>
    </xf>
    <xf numFmtId="14" fontId="17" fillId="0" borderId="0" xfId="0" applyNumberFormat="1" applyFont="1"/>
    <xf numFmtId="0" fontId="0" fillId="0" borderId="0" xfId="0" applyAlignment="1">
      <alignment horizontal="center"/>
    </xf>
    <xf numFmtId="0" fontId="0" fillId="0" borderId="0" xfId="0" applyAlignment="1">
      <alignment horizontal="left"/>
    </xf>
    <xf numFmtId="0" fontId="0" fillId="2" borderId="0" xfId="0" applyFill="1"/>
    <xf numFmtId="0" fontId="0" fillId="4" borderId="0" xfId="0" applyFill="1"/>
    <xf numFmtId="0" fontId="0" fillId="4" borderId="0" xfId="0" applyFont="1" applyFill="1"/>
    <xf numFmtId="0" fontId="0" fillId="4" borderId="0" xfId="0" applyFont="1" applyFill="1" applyBorder="1"/>
    <xf numFmtId="0" fontId="0" fillId="8" borderId="0" xfId="0" applyFont="1" applyFill="1"/>
    <xf numFmtId="0" fontId="53" fillId="0" borderId="0" xfId="0" applyFont="1" applyAlignment="1">
      <alignment vertical="center" wrapText="1"/>
    </xf>
    <xf numFmtId="0" fontId="0" fillId="2" borderId="0" xfId="0" applyFill="1" applyBorder="1"/>
    <xf numFmtId="0" fontId="1" fillId="0" borderId="0" xfId="0" applyFont="1"/>
    <xf numFmtId="0" fontId="54" fillId="2" borderId="0" xfId="0" applyFont="1" applyFill="1" applyBorder="1" applyAlignment="1">
      <alignment vertical="center"/>
    </xf>
    <xf numFmtId="0" fontId="54" fillId="2" borderId="0" xfId="0" applyFont="1" applyFill="1" applyBorder="1" applyAlignment="1">
      <alignment horizontal="left" vertical="center" indent="9"/>
    </xf>
    <xf numFmtId="0" fontId="0" fillId="2" borderId="0" xfId="0" applyFill="1" applyAlignment="1">
      <alignment vertical="top"/>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0" fillId="2" borderId="0" xfId="0" applyFill="1" applyAlignment="1">
      <alignment wrapText="1"/>
    </xf>
    <xf numFmtId="0" fontId="51" fillId="2" borderId="0" xfId="0" applyFont="1" applyFill="1" applyAlignment="1">
      <alignment vertical="center"/>
    </xf>
    <xf numFmtId="0" fontId="52" fillId="2" borderId="0" xfId="0" applyFont="1" applyFill="1" applyAlignment="1">
      <alignment vertical="top"/>
    </xf>
    <xf numFmtId="0" fontId="46" fillId="2" borderId="0" xfId="0" applyFont="1" applyFill="1" applyAlignment="1">
      <alignment vertical="center"/>
    </xf>
    <xf numFmtId="0" fontId="46" fillId="2" borderId="0" xfId="0" applyFont="1" applyFill="1" applyAlignment="1">
      <alignment vertical="center" wrapText="1"/>
    </xf>
    <xf numFmtId="0" fontId="46" fillId="2" borderId="0" xfId="0" applyFont="1" applyFill="1" applyAlignment="1">
      <alignment vertical="top" wrapText="1"/>
    </xf>
    <xf numFmtId="14" fontId="46" fillId="2" borderId="0" xfId="0" applyNumberFormat="1" applyFont="1" applyFill="1" applyAlignment="1">
      <alignment vertical="top" wrapText="1"/>
    </xf>
    <xf numFmtId="0" fontId="52" fillId="2" borderId="0" xfId="0" applyFont="1" applyFill="1" applyAlignment="1">
      <alignment vertical="center"/>
    </xf>
    <xf numFmtId="0" fontId="50" fillId="2" borderId="0" xfId="0" applyFont="1" applyFill="1" applyAlignment="1">
      <alignment vertical="center"/>
    </xf>
    <xf numFmtId="0" fontId="46" fillId="2" borderId="0" xfId="0" applyFont="1" applyFill="1" applyAlignment="1">
      <alignment horizontal="left" vertical="top" wrapText="1"/>
    </xf>
    <xf numFmtId="0" fontId="54" fillId="2" borderId="0" xfId="0" applyFont="1" applyFill="1" applyAlignment="1">
      <alignment vertical="center" wrapText="1"/>
    </xf>
    <xf numFmtId="0" fontId="54" fillId="2" borderId="0" xfId="0" applyFont="1" applyFill="1" applyAlignment="1">
      <alignment vertical="center"/>
    </xf>
    <xf numFmtId="0" fontId="54" fillId="2" borderId="0" xfId="0" applyFont="1" applyFill="1" applyAlignment="1">
      <alignment horizontal="left" vertical="center" indent="9"/>
    </xf>
    <xf numFmtId="0" fontId="0" fillId="2" borderId="0" xfId="0" applyFont="1" applyFill="1"/>
    <xf numFmtId="0" fontId="57" fillId="4" borderId="0" xfId="0" applyFont="1" applyFill="1"/>
    <xf numFmtId="0" fontId="58" fillId="4" borderId="0" xfId="0" applyFont="1" applyFill="1"/>
    <xf numFmtId="0" fontId="21" fillId="2" borderId="0" xfId="0" applyFont="1" applyFill="1" applyAlignment="1">
      <alignment horizontal="center"/>
    </xf>
    <xf numFmtId="0" fontId="11" fillId="0" borderId="0" xfId="0" applyFont="1"/>
    <xf numFmtId="0" fontId="28" fillId="0" borderId="0" xfId="0" applyFont="1"/>
    <xf numFmtId="0" fontId="17" fillId="0" borderId="0" xfId="0" applyFont="1" applyAlignment="1">
      <alignment horizontal="center"/>
    </xf>
    <xf numFmtId="0" fontId="17" fillId="0" borderId="0" xfId="0" applyFont="1" applyAlignment="1">
      <alignment horizontal="right"/>
    </xf>
    <xf numFmtId="0" fontId="62" fillId="0" borderId="0" xfId="0" applyFont="1" applyAlignment="1">
      <alignment horizontal="center"/>
    </xf>
    <xf numFmtId="0" fontId="62" fillId="0" borderId="0" xfId="0" applyFont="1"/>
    <xf numFmtId="49" fontId="17" fillId="0" borderId="0" xfId="0" applyNumberFormat="1" applyFont="1"/>
    <xf numFmtId="14" fontId="17" fillId="0" borderId="0" xfId="0" applyNumberFormat="1" applyFont="1" applyAlignment="1">
      <alignment horizontal="center"/>
    </xf>
    <xf numFmtId="0" fontId="11" fillId="0" borderId="0" xfId="0" applyFont="1" applyAlignment="1">
      <alignment horizontal="left"/>
    </xf>
    <xf numFmtId="0" fontId="63" fillId="0" borderId="0" xfId="0" applyFont="1" applyAlignment="1">
      <alignment horizontal="center"/>
    </xf>
    <xf numFmtId="0" fontId="63" fillId="0" borderId="0" xfId="0" applyFont="1"/>
    <xf numFmtId="0" fontId="63" fillId="0" borderId="0" xfId="0" applyFont="1" applyAlignment="1">
      <alignment horizontal="left"/>
    </xf>
    <xf numFmtId="0" fontId="64" fillId="0" borderId="0" xfId="0" applyFont="1" applyAlignment="1">
      <alignment horizontal="center"/>
    </xf>
    <xf numFmtId="0" fontId="64" fillId="0" borderId="0" xfId="0" applyFont="1" applyAlignment="1">
      <alignment horizontal="left"/>
    </xf>
    <xf numFmtId="49" fontId="64" fillId="0" borderId="0" xfId="0" applyNumberFormat="1" applyFont="1"/>
    <xf numFmtId="14" fontId="64" fillId="0" borderId="0" xfId="0" applyNumberFormat="1" applyFont="1" applyAlignment="1">
      <alignment horizontal="center"/>
    </xf>
    <xf numFmtId="14" fontId="64" fillId="0" borderId="0" xfId="0" applyNumberFormat="1" applyFont="1"/>
    <xf numFmtId="0" fontId="64" fillId="0" borderId="0" xfId="0" applyFont="1"/>
    <xf numFmtId="49" fontId="64" fillId="0" borderId="0" xfId="0" applyNumberFormat="1" applyFont="1" applyAlignment="1">
      <alignment horizontal="center"/>
    </xf>
    <xf numFmtId="0" fontId="26" fillId="2" borderId="0" xfId="0" applyFont="1" applyFill="1" applyAlignment="1">
      <alignment vertical="center"/>
    </xf>
    <xf numFmtId="0" fontId="0" fillId="4" borderId="7" xfId="0" applyFont="1" applyFill="1" applyBorder="1"/>
    <xf numFmtId="0" fontId="35" fillId="2" borderId="0" xfId="0" applyFont="1" applyFill="1" applyBorder="1" applyAlignment="1">
      <alignment vertical="center"/>
    </xf>
    <xf numFmtId="0" fontId="1" fillId="2" borderId="0" xfId="0" applyFont="1" applyFill="1" applyBorder="1" applyAlignment="1">
      <alignment vertical="center"/>
    </xf>
    <xf numFmtId="0" fontId="31" fillId="2" borderId="0" xfId="0" applyFont="1" applyFill="1" applyBorder="1" applyAlignment="1">
      <alignment vertical="top" wrapText="1"/>
    </xf>
    <xf numFmtId="0" fontId="17" fillId="10" borderId="0" xfId="0" applyFont="1" applyFill="1"/>
    <xf numFmtId="0" fontId="62" fillId="10" borderId="0" xfId="0" applyFont="1" applyFill="1"/>
    <xf numFmtId="0" fontId="89" fillId="2" borderId="0" xfId="0" applyFont="1" applyFill="1" applyBorder="1" applyAlignment="1">
      <alignment vertical="center"/>
    </xf>
    <xf numFmtId="0" fontId="17" fillId="2" borderId="0" xfId="0" applyFont="1" applyFill="1" applyBorder="1"/>
    <xf numFmtId="0" fontId="66" fillId="2" borderId="0" xfId="0" applyFont="1" applyFill="1" applyBorder="1" applyAlignment="1">
      <alignment vertical="center"/>
    </xf>
    <xf numFmtId="0" fontId="17" fillId="2" borderId="0" xfId="0" applyFont="1" applyFill="1" applyBorder="1" applyAlignment="1">
      <alignment horizontal="left" vertical="top" wrapText="1"/>
    </xf>
    <xf numFmtId="0" fontId="65" fillId="10" borderId="0" xfId="0" applyFont="1" applyFill="1"/>
    <xf numFmtId="0" fontId="21" fillId="10" borderId="0" xfId="0" applyFont="1" applyFill="1"/>
    <xf numFmtId="0" fontId="22" fillId="10" borderId="0" xfId="0" applyFont="1" applyFill="1"/>
    <xf numFmtId="0" fontId="19" fillId="10" borderId="0" xfId="0" applyFont="1" applyFill="1"/>
    <xf numFmtId="0" fontId="18" fillId="10" borderId="0" xfId="0" applyFont="1" applyFill="1"/>
    <xf numFmtId="0" fontId="95" fillId="10" borderId="0" xfId="0" applyFont="1" applyFill="1"/>
    <xf numFmtId="0" fontId="96" fillId="10" borderId="0" xfId="0" applyFont="1" applyFill="1"/>
    <xf numFmtId="0" fontId="97" fillId="13" borderId="0" xfId="0" applyFont="1" applyFill="1"/>
    <xf numFmtId="0" fontId="100" fillId="13" borderId="0" xfId="0" applyFont="1" applyFill="1" applyAlignment="1">
      <alignment vertical="center"/>
    </xf>
    <xf numFmtId="0" fontId="98" fillId="13" borderId="0" xfId="0" applyFont="1" applyFill="1"/>
    <xf numFmtId="0" fontId="99" fillId="13" borderId="0" xfId="0" applyFont="1" applyFill="1"/>
    <xf numFmtId="0" fontId="68" fillId="10" borderId="0" xfId="0" applyFont="1" applyFill="1"/>
    <xf numFmtId="0" fontId="69" fillId="10" borderId="0" xfId="0" applyFont="1" applyFill="1"/>
    <xf numFmtId="0" fontId="19" fillId="2" borderId="0" xfId="0" applyFont="1" applyFill="1"/>
    <xf numFmtId="0" fontId="72" fillId="10" borderId="0" xfId="0" applyFont="1" applyFill="1"/>
    <xf numFmtId="0" fontId="104" fillId="10" borderId="0" xfId="0" applyFont="1" applyFill="1"/>
    <xf numFmtId="0" fontId="106" fillId="10" borderId="0" xfId="0" applyFont="1" applyFill="1"/>
    <xf numFmtId="0" fontId="107" fillId="10" borderId="0" xfId="0" applyFont="1" applyFill="1"/>
    <xf numFmtId="0" fontId="108" fillId="10" borderId="0" xfId="0" applyFont="1" applyFill="1"/>
    <xf numFmtId="0" fontId="109" fillId="10" borderId="0" xfId="0" applyFont="1" applyFill="1"/>
    <xf numFmtId="49" fontId="72" fillId="10" borderId="0" xfId="0" applyNumberFormat="1" applyFont="1" applyFill="1"/>
    <xf numFmtId="49" fontId="68" fillId="10" borderId="0" xfId="0" applyNumberFormat="1" applyFont="1" applyFill="1" applyAlignment="1">
      <alignment horizontal="right"/>
    </xf>
    <xf numFmtId="0" fontId="19" fillId="12" borderId="0" xfId="0" applyFont="1" applyFill="1"/>
    <xf numFmtId="0" fontId="17" fillId="12" borderId="0" xfId="0" applyFont="1" applyFill="1"/>
    <xf numFmtId="0" fontId="28" fillId="12" borderId="0" xfId="0" applyFont="1" applyFill="1"/>
    <xf numFmtId="0" fontId="103" fillId="12" borderId="0" xfId="0" applyFont="1" applyFill="1"/>
    <xf numFmtId="0" fontId="102" fillId="12" borderId="0" xfId="0" applyFont="1" applyFill="1"/>
    <xf numFmtId="0" fontId="77" fillId="10" borderId="0" xfId="0" applyFont="1" applyFill="1"/>
    <xf numFmtId="0" fontId="95" fillId="2" borderId="0" xfId="0" applyFont="1" applyFill="1"/>
    <xf numFmtId="0" fontId="17" fillId="2" borderId="0" xfId="0" applyFont="1" applyFill="1"/>
    <xf numFmtId="0" fontId="21" fillId="2" borderId="0" xfId="0" applyFont="1" applyFill="1"/>
    <xf numFmtId="0" fontId="101" fillId="2" borderId="0" xfId="0" applyFont="1" applyFill="1"/>
    <xf numFmtId="0" fontId="66" fillId="2" borderId="0" xfId="0" applyFont="1" applyFill="1"/>
    <xf numFmtId="0" fontId="28" fillId="2" borderId="0" xfId="0" applyFont="1" applyFill="1"/>
    <xf numFmtId="0" fontId="103" fillId="2" borderId="0" xfId="0" applyFont="1" applyFill="1"/>
    <xf numFmtId="0" fontId="65" fillId="2" borderId="0" xfId="0" applyFont="1" applyFill="1"/>
    <xf numFmtId="0" fontId="102" fillId="2" borderId="0" xfId="0" applyFont="1" applyFill="1"/>
    <xf numFmtId="0" fontId="111" fillId="2" borderId="0" xfId="0" applyFont="1" applyFill="1"/>
    <xf numFmtId="0" fontId="72" fillId="10" borderId="0" xfId="0" applyFont="1" applyFill="1" applyAlignment="1">
      <alignment horizontal="left"/>
    </xf>
    <xf numFmtId="14" fontId="72" fillId="10" borderId="0" xfId="0" applyNumberFormat="1" applyFont="1" applyFill="1" applyAlignment="1">
      <alignment horizontal="left"/>
    </xf>
    <xf numFmtId="0" fontId="65" fillId="10" borderId="0" xfId="0" applyFont="1" applyFill="1" applyBorder="1" applyAlignment="1">
      <alignment vertical="top" wrapText="1"/>
    </xf>
    <xf numFmtId="0" fontId="65" fillId="10" borderId="0" xfId="0" applyFont="1" applyFill="1" applyBorder="1" applyAlignment="1">
      <alignment vertical="top"/>
    </xf>
    <xf numFmtId="0" fontId="106" fillId="10" borderId="0" xfId="0" applyFont="1" applyFill="1" applyBorder="1"/>
    <xf numFmtId="0" fontId="17" fillId="10" borderId="0" xfId="0" applyFont="1" applyFill="1" applyBorder="1"/>
    <xf numFmtId="0" fontId="62" fillId="10" borderId="0" xfId="0" applyFont="1" applyFill="1" applyAlignment="1">
      <alignment horizontal="left"/>
    </xf>
    <xf numFmtId="0" fontId="0" fillId="2" borderId="0" xfId="0" applyFill="1" applyBorder="1" applyAlignment="1">
      <alignment horizontal="center"/>
    </xf>
    <xf numFmtId="0" fontId="17" fillId="2" borderId="0" xfId="0" applyFont="1" applyFill="1" applyBorder="1" applyAlignment="1">
      <alignment horizontal="left" vertical="top" wrapText="1"/>
    </xf>
    <xf numFmtId="0" fontId="0" fillId="14" borderId="0" xfId="0" applyFill="1" applyBorder="1"/>
    <xf numFmtId="0" fontId="17" fillId="14" borderId="0" xfId="0" applyFont="1" applyFill="1" applyBorder="1"/>
    <xf numFmtId="0" fontId="14" fillId="14" borderId="0" xfId="0" applyFont="1" applyFill="1" applyBorder="1" applyAlignment="1">
      <alignment horizontal="left" vertical="top" wrapText="1"/>
    </xf>
    <xf numFmtId="0" fontId="0" fillId="14" borderId="0" xfId="0" applyFill="1"/>
    <xf numFmtId="0" fontId="17" fillId="14" borderId="0" xfId="0" applyFont="1" applyFill="1"/>
    <xf numFmtId="0" fontId="17" fillId="14" borderId="0" xfId="0" applyFont="1" applyFill="1" applyAlignment="1">
      <alignment horizontal="center" vertical="center"/>
    </xf>
    <xf numFmtId="0" fontId="82" fillId="14" borderId="0" xfId="0" applyFont="1" applyFill="1" applyBorder="1"/>
    <xf numFmtId="0" fontId="27" fillId="14" borderId="0" xfId="0" applyFont="1" applyFill="1" applyBorder="1"/>
    <xf numFmtId="0" fontId="27" fillId="14" borderId="0" xfId="0" applyFont="1" applyFill="1"/>
    <xf numFmtId="0" fontId="17" fillId="14" borderId="0" xfId="0" applyFont="1" applyFill="1" applyBorder="1" applyAlignment="1">
      <alignment vertical="center"/>
    </xf>
    <xf numFmtId="0" fontId="14" fillId="14" borderId="0" xfId="0" applyFont="1" applyFill="1" applyBorder="1" applyAlignment="1">
      <alignment vertical="top" wrapText="1"/>
    </xf>
    <xf numFmtId="0" fontId="62" fillId="14" borderId="0" xfId="0" applyFont="1" applyFill="1" applyBorder="1" applyAlignment="1">
      <alignment horizontal="left" indent="1"/>
    </xf>
    <xf numFmtId="0" fontId="17" fillId="14" borderId="0" xfId="0" applyFont="1" applyFill="1" applyBorder="1" applyAlignment="1">
      <alignment horizontal="left" indent="1"/>
    </xf>
    <xf numFmtId="0" fontId="17" fillId="2" borderId="0" xfId="0" applyFont="1" applyFill="1" applyBorder="1" applyAlignment="1">
      <alignment vertical="top" wrapText="1"/>
    </xf>
    <xf numFmtId="0" fontId="17" fillId="2" borderId="0" xfId="0" applyFont="1" applyFill="1" applyBorder="1" applyAlignment="1">
      <alignment horizontal="left" vertical="top"/>
    </xf>
    <xf numFmtId="0" fontId="20" fillId="10" borderId="0" xfId="1" applyFill="1"/>
    <xf numFmtId="0" fontId="62" fillId="2" borderId="0" xfId="0" applyFont="1" applyFill="1"/>
    <xf numFmtId="0" fontId="17" fillId="2" borderId="0" xfId="0" applyFont="1" applyFill="1" applyAlignment="1">
      <alignment vertical="top"/>
    </xf>
    <xf numFmtId="0" fontId="17" fillId="2" borderId="0" xfId="0" applyFont="1" applyFill="1" applyAlignment="1">
      <alignment horizontal="right"/>
    </xf>
    <xf numFmtId="0" fontId="17" fillId="2" borderId="0" xfId="0" applyFont="1" applyFill="1" applyAlignment="1">
      <alignment vertical="top" wrapText="1"/>
    </xf>
    <xf numFmtId="0" fontId="65" fillId="2" borderId="0" xfId="0" applyFont="1" applyFill="1" applyAlignment="1">
      <alignment vertical="top" wrapText="1"/>
    </xf>
    <xf numFmtId="1" fontId="17" fillId="2" borderId="0" xfId="0" applyNumberFormat="1" applyFont="1" applyFill="1" applyAlignment="1">
      <alignment horizontal="center"/>
    </xf>
    <xf numFmtId="0" fontId="17" fillId="2" borderId="0" xfId="0" applyFont="1" applyFill="1" applyAlignment="1">
      <alignment horizontal="left" indent="1"/>
    </xf>
    <xf numFmtId="0" fontId="65" fillId="2" borderId="0" xfId="0" applyFont="1" applyFill="1" applyAlignment="1">
      <alignment vertical="top"/>
    </xf>
    <xf numFmtId="0" fontId="17" fillId="10" borderId="0" xfId="0" applyFont="1" applyFill="1" applyAlignment="1">
      <alignment vertical="center"/>
    </xf>
    <xf numFmtId="0" fontId="56" fillId="10" borderId="0" xfId="0" applyFont="1" applyFill="1" applyAlignment="1">
      <alignment horizontal="left"/>
    </xf>
    <xf numFmtId="0" fontId="0" fillId="2" borderId="2" xfId="0" applyFill="1" applyBorder="1"/>
    <xf numFmtId="0" fontId="14" fillId="2" borderId="0" xfId="0" applyFont="1" applyFill="1"/>
    <xf numFmtId="0" fontId="0" fillId="2" borderId="0" xfId="0" applyFont="1" applyFill="1" applyBorder="1"/>
    <xf numFmtId="0" fontId="1" fillId="2" borderId="0" xfId="0" applyFont="1" applyFill="1"/>
    <xf numFmtId="3" fontId="17" fillId="2" borderId="0" xfId="0" applyNumberFormat="1" applyFont="1" applyFill="1"/>
    <xf numFmtId="0" fontId="123" fillId="2" borderId="0" xfId="0" applyFont="1" applyFill="1"/>
    <xf numFmtId="14" fontId="123" fillId="2" borderId="0" xfId="0" applyNumberFormat="1" applyFont="1" applyFill="1"/>
    <xf numFmtId="0" fontId="0" fillId="2" borderId="0" xfId="0" applyFill="1" applyBorder="1" applyAlignment="1">
      <alignment vertical="top"/>
    </xf>
    <xf numFmtId="0" fontId="0" fillId="2" borderId="12" xfId="0" applyFill="1" applyBorder="1"/>
    <xf numFmtId="0" fontId="28" fillId="2" borderId="0" xfId="0" applyFont="1" applyFill="1" applyBorder="1"/>
    <xf numFmtId="0" fontId="130" fillId="2" borderId="0" xfId="0" applyFont="1" applyFill="1"/>
    <xf numFmtId="0" fontId="11" fillId="2" borderId="0" xfId="0" applyFont="1" applyFill="1" applyAlignment="1">
      <alignment horizontal="right"/>
    </xf>
    <xf numFmtId="0" fontId="42" fillId="2" borderId="0" xfId="0" applyFont="1" applyFill="1"/>
    <xf numFmtId="0" fontId="1" fillId="2" borderId="0" xfId="0" applyFont="1" applyFill="1" applyAlignment="1">
      <alignment horizontal="center"/>
    </xf>
    <xf numFmtId="14" fontId="17" fillId="2" borderId="0" xfId="0" applyNumberFormat="1" applyFont="1" applyFill="1" applyAlignment="1">
      <alignment horizontal="right"/>
    </xf>
    <xf numFmtId="0" fontId="17" fillId="2" borderId="2" xfId="0" applyFont="1" applyFill="1" applyBorder="1"/>
    <xf numFmtId="0" fontId="62" fillId="2" borderId="0" xfId="0" applyFont="1" applyFill="1" applyAlignment="1">
      <alignment horizontal="right"/>
    </xf>
    <xf numFmtId="0" fontId="62" fillId="2" borderId="0" xfId="0" applyFont="1" applyFill="1" applyAlignment="1">
      <alignment horizontal="center"/>
    </xf>
    <xf numFmtId="14" fontId="17" fillId="2" borderId="0" xfId="0" applyNumberFormat="1" applyFont="1" applyFill="1" applyAlignment="1">
      <alignment horizontal="center"/>
    </xf>
    <xf numFmtId="0" fontId="68" fillId="2" borderId="0" xfId="0" applyFont="1" applyFill="1"/>
    <xf numFmtId="0" fontId="115" fillId="2" borderId="0" xfId="0" applyFont="1" applyFill="1" applyAlignment="1">
      <alignment horizontal="center"/>
    </xf>
    <xf numFmtId="1" fontId="17" fillId="0" borderId="0" xfId="0" applyNumberFormat="1" applyFont="1" applyAlignment="1">
      <alignment horizontal="center"/>
    </xf>
    <xf numFmtId="0" fontId="0" fillId="0" borderId="0" xfId="0" applyBorder="1"/>
    <xf numFmtId="0" fontId="17" fillId="0" borderId="0" xfId="0" applyFont="1" applyBorder="1"/>
    <xf numFmtId="1" fontId="0" fillId="2" borderId="0" xfId="0" applyNumberFormat="1" applyFill="1" applyAlignment="1">
      <alignment horizontal="center"/>
    </xf>
    <xf numFmtId="2" fontId="0" fillId="2" borderId="0" xfId="0" applyNumberFormat="1" applyFill="1" applyAlignment="1">
      <alignment horizontal="center"/>
    </xf>
    <xf numFmtId="1" fontId="1" fillId="2" borderId="0" xfId="0" applyNumberFormat="1" applyFont="1" applyFill="1"/>
    <xf numFmtId="0" fontId="117" fillId="2" borderId="0" xfId="0" applyFont="1" applyFill="1" applyAlignment="1">
      <alignment horizontal="right" indent="1"/>
    </xf>
    <xf numFmtId="0" fontId="117" fillId="2" borderId="0" xfId="0" applyFont="1" applyFill="1"/>
    <xf numFmtId="0" fontId="28" fillId="2" borderId="2" xfId="0" applyFont="1" applyFill="1" applyBorder="1"/>
    <xf numFmtId="0" fontId="22" fillId="2" borderId="0" xfId="0" applyFont="1" applyFill="1"/>
    <xf numFmtId="0" fontId="20" fillId="2" borderId="0" xfId="1" applyFill="1"/>
    <xf numFmtId="0" fontId="123" fillId="13" borderId="0" xfId="0" applyFont="1" applyFill="1" applyBorder="1"/>
    <xf numFmtId="0" fontId="138" fillId="13" borderId="0" xfId="0" applyFont="1" applyFill="1" applyBorder="1" applyAlignment="1">
      <alignment horizontal="right"/>
    </xf>
    <xf numFmtId="0" fontId="137" fillId="13" borderId="0" xfId="1" applyFont="1" applyFill="1" applyBorder="1" applyAlignment="1">
      <alignment horizontal="right"/>
    </xf>
    <xf numFmtId="0" fontId="139" fillId="13" borderId="0" xfId="0" applyFont="1" applyFill="1" applyBorder="1" applyAlignment="1">
      <alignment vertical="center" wrapText="1"/>
    </xf>
    <xf numFmtId="0" fontId="141" fillId="13" borderId="0" xfId="0" applyFont="1" applyFill="1" applyBorder="1" applyAlignment="1">
      <alignment vertical="top"/>
    </xf>
    <xf numFmtId="0" fontId="140" fillId="13" borderId="0" xfId="0" applyFont="1" applyFill="1" applyBorder="1" applyAlignment="1">
      <alignment horizontal="left" indent="1"/>
    </xf>
    <xf numFmtId="0" fontId="142" fillId="13" borderId="0" xfId="0" applyFont="1" applyFill="1" applyBorder="1" applyAlignment="1"/>
    <xf numFmtId="0" fontId="80" fillId="14" borderId="0" xfId="1" applyFont="1" applyFill="1" applyBorder="1" applyAlignment="1">
      <alignment horizontal="right"/>
    </xf>
    <xf numFmtId="0" fontId="80" fillId="14" borderId="0" xfId="1" applyFont="1" applyFill="1" applyBorder="1" applyAlignment="1">
      <alignment horizontal="center" vertical="center"/>
    </xf>
    <xf numFmtId="0" fontId="40" fillId="2" borderId="0" xfId="0" applyFont="1" applyFill="1" applyAlignment="1"/>
    <xf numFmtId="0" fontId="37" fillId="2" borderId="0" xfId="0" applyFont="1" applyFill="1" applyAlignment="1"/>
    <xf numFmtId="0" fontId="1" fillId="2" borderId="0" xfId="0" applyFont="1" applyFill="1" applyBorder="1" applyAlignment="1">
      <alignment horizontal="left" vertical="center" indent="1"/>
    </xf>
    <xf numFmtId="0" fontId="1" fillId="2" borderId="0" xfId="0" applyFont="1" applyFill="1" applyBorder="1" applyAlignment="1">
      <alignment horizontal="right" vertical="center"/>
    </xf>
    <xf numFmtId="0" fontId="0" fillId="2" borderId="0" xfId="0" applyFill="1" applyAlignment="1">
      <alignment horizontal="left" indent="1"/>
    </xf>
    <xf numFmtId="0" fontId="112" fillId="2" borderId="0" xfId="0" applyFont="1" applyFill="1" applyAlignment="1">
      <alignment horizontal="left"/>
    </xf>
    <xf numFmtId="0" fontId="78" fillId="2" borderId="0" xfId="0" applyFont="1" applyFill="1"/>
    <xf numFmtId="0" fontId="62" fillId="2" borderId="0" xfId="0" applyFont="1" applyFill="1" applyAlignment="1">
      <alignment horizontal="left" indent="1"/>
    </xf>
    <xf numFmtId="0" fontId="27" fillId="2" borderId="0" xfId="0" applyFont="1" applyFill="1"/>
    <xf numFmtId="0" fontId="82" fillId="2" borderId="0" xfId="0" applyFont="1" applyFill="1" applyBorder="1" applyAlignment="1">
      <alignment horizontal="right" vertical="center"/>
    </xf>
    <xf numFmtId="0" fontId="27" fillId="2" borderId="0" xfId="0" applyFont="1" applyFill="1" applyBorder="1"/>
    <xf numFmtId="0" fontId="62" fillId="2" borderId="0" xfId="0" applyFont="1" applyFill="1" applyBorder="1" applyAlignment="1">
      <alignment horizontal="left" indent="1"/>
    </xf>
    <xf numFmtId="0" fontId="62" fillId="2" borderId="0" xfId="0" applyFont="1" applyFill="1" applyBorder="1"/>
    <xf numFmtId="0" fontId="80" fillId="2" borderId="0" xfId="1" applyFont="1" applyFill="1" applyBorder="1" applyAlignment="1">
      <alignment horizontal="right"/>
    </xf>
    <xf numFmtId="0" fontId="0" fillId="2" borderId="0" xfId="0" applyFill="1" applyAlignment="1">
      <alignment horizontal="center" vertical="center"/>
    </xf>
    <xf numFmtId="0" fontId="17" fillId="2" borderId="0" xfId="0" applyFont="1" applyFill="1" applyBorder="1" applyAlignment="1">
      <alignment horizontal="left" indent="1"/>
    </xf>
    <xf numFmtId="2" fontId="0" fillId="2" borderId="0" xfId="0" applyNumberFormat="1" applyFill="1" applyBorder="1"/>
    <xf numFmtId="4" fontId="26" fillId="2" borderId="0" xfId="0" applyNumberFormat="1" applyFont="1" applyFill="1" applyBorder="1" applyAlignment="1">
      <alignment horizontal="center"/>
    </xf>
    <xf numFmtId="0" fontId="17" fillId="14" borderId="0" xfId="0" applyFont="1" applyFill="1" applyBorder="1" applyAlignment="1">
      <alignment horizontal="left" vertical="center" indent="1"/>
    </xf>
    <xf numFmtId="0" fontId="0" fillId="14" borderId="0" xfId="0" applyFill="1" applyBorder="1" applyAlignment="1">
      <alignment horizontal="left" indent="1"/>
    </xf>
    <xf numFmtId="0" fontId="79" fillId="2" borderId="0" xfId="0" applyFont="1" applyFill="1" applyAlignment="1">
      <alignment horizontal="left" vertical="top"/>
    </xf>
    <xf numFmtId="0" fontId="36" fillId="2" borderId="0" xfId="0" applyFont="1" applyFill="1" applyAlignment="1">
      <alignment horizontal="right"/>
    </xf>
    <xf numFmtId="0" fontId="75" fillId="2" borderId="0" xfId="0" applyFont="1" applyFill="1" applyAlignment="1">
      <alignment horizontal="left" vertical="top" wrapText="1"/>
    </xf>
    <xf numFmtId="0" fontId="33" fillId="2" borderId="0" xfId="0" applyFont="1" applyFill="1" applyAlignment="1">
      <alignment vertical="center"/>
    </xf>
    <xf numFmtId="0" fontId="75" fillId="2" borderId="0" xfId="0" applyFont="1" applyFill="1" applyAlignment="1">
      <alignment horizontal="left" vertical="top"/>
    </xf>
    <xf numFmtId="0" fontId="75" fillId="2" borderId="0" xfId="0" applyFont="1" applyFill="1" applyAlignment="1">
      <alignment vertical="top"/>
    </xf>
    <xf numFmtId="0" fontId="34" fillId="2" borderId="0" xfId="0" applyFont="1" applyFill="1" applyAlignment="1">
      <alignment vertical="top"/>
    </xf>
    <xf numFmtId="0" fontId="42" fillId="2" borderId="0" xfId="0" applyFont="1" applyFill="1" applyAlignment="1">
      <alignment vertical="top"/>
    </xf>
    <xf numFmtId="0" fontId="43" fillId="2" borderId="0" xfId="0" applyFont="1" applyFill="1" applyAlignment="1">
      <alignment vertical="top"/>
    </xf>
    <xf numFmtId="0" fontId="44" fillId="2" borderId="0" xfId="0" applyFont="1" applyFill="1"/>
    <xf numFmtId="0" fontId="45" fillId="2" borderId="0" xfId="0" applyFont="1" applyFill="1" applyAlignment="1">
      <alignment horizontal="left" vertical="top" wrapText="1"/>
    </xf>
    <xf numFmtId="0" fontId="0" fillId="2" borderId="2" xfId="0" applyFont="1" applyFill="1" applyBorder="1"/>
    <xf numFmtId="0" fontId="79" fillId="2" borderId="0" xfId="0" applyFont="1" applyFill="1" applyBorder="1" applyAlignment="1">
      <alignment horizontal="left" vertical="top"/>
    </xf>
    <xf numFmtId="0" fontId="36" fillId="2" borderId="0" xfId="0" applyFont="1" applyFill="1" applyBorder="1" applyAlignment="1">
      <alignment horizontal="right"/>
    </xf>
    <xf numFmtId="0" fontId="75" fillId="2" borderId="2" xfId="0" applyFont="1" applyFill="1" applyBorder="1" applyAlignment="1">
      <alignment vertical="top" wrapText="1"/>
    </xf>
    <xf numFmtId="0" fontId="75" fillId="2" borderId="0" xfId="0" applyFont="1" applyFill="1" applyBorder="1" applyAlignment="1">
      <alignment horizontal="left" vertical="top" wrapText="1"/>
    </xf>
    <xf numFmtId="0" fontId="74" fillId="2" borderId="0" xfId="0" applyFont="1" applyFill="1" applyBorder="1" applyAlignment="1">
      <alignment vertical="center"/>
    </xf>
    <xf numFmtId="0" fontId="33" fillId="2" borderId="0" xfId="0" applyFont="1" applyFill="1" applyBorder="1" applyAlignment="1">
      <alignment horizontal="left" vertical="top"/>
    </xf>
    <xf numFmtId="0" fontId="33" fillId="2" borderId="0" xfId="0" applyFont="1" applyFill="1" applyBorder="1" applyAlignment="1">
      <alignment vertical="center"/>
    </xf>
    <xf numFmtId="0" fontId="0" fillId="2" borderId="0" xfId="0" applyFont="1" applyFill="1" applyBorder="1" applyAlignment="1">
      <alignment vertical="top" wrapText="1"/>
    </xf>
    <xf numFmtId="0" fontId="43" fillId="2" borderId="0" xfId="0" applyFont="1" applyFill="1" applyBorder="1" applyAlignment="1">
      <alignment vertical="top" wrapText="1"/>
    </xf>
    <xf numFmtId="0" fontId="44" fillId="2" borderId="0" xfId="0" applyFont="1" applyFill="1" applyBorder="1"/>
    <xf numFmtId="0" fontId="45" fillId="2" borderId="0" xfId="0" applyFont="1" applyFill="1" applyBorder="1" applyAlignment="1">
      <alignment horizontal="left" vertical="top" wrapText="1"/>
    </xf>
    <xf numFmtId="0" fontId="0" fillId="2" borderId="11" xfId="0" applyFont="1" applyFill="1" applyBorder="1"/>
    <xf numFmtId="0" fontId="0" fillId="2" borderId="12" xfId="0" applyFont="1" applyFill="1" applyBorder="1"/>
    <xf numFmtId="0" fontId="151" fillId="2" borderId="0" xfId="0" applyFont="1" applyFill="1" applyAlignment="1">
      <alignment horizontal="left" indent="2"/>
    </xf>
    <xf numFmtId="0" fontId="45" fillId="2" borderId="0" xfId="0" applyFont="1" applyFill="1" applyAlignment="1">
      <alignment horizontal="right" vertical="top" wrapText="1" indent="1"/>
    </xf>
    <xf numFmtId="0" fontId="67" fillId="2" borderId="0" xfId="1" applyFont="1" applyFill="1"/>
    <xf numFmtId="0" fontId="67" fillId="2" borderId="0" xfId="1" applyFont="1" applyFill="1" applyAlignment="1">
      <alignment horizontal="left"/>
    </xf>
    <xf numFmtId="0" fontId="113" fillId="2" borderId="0" xfId="0" applyFont="1" applyFill="1"/>
    <xf numFmtId="0" fontId="45" fillId="2" borderId="0" xfId="0" applyFont="1" applyFill="1" applyAlignment="1">
      <alignment vertical="center"/>
    </xf>
    <xf numFmtId="0" fontId="47" fillId="2" borderId="0" xfId="0" applyFont="1" applyFill="1"/>
    <xf numFmtId="0" fontId="65" fillId="2" borderId="2" xfId="0" applyFont="1" applyFill="1" applyBorder="1"/>
    <xf numFmtId="0" fontId="14" fillId="2" borderId="2" xfId="0" applyFont="1" applyFill="1" applyBorder="1"/>
    <xf numFmtId="0" fontId="17" fillId="2" borderId="0" xfId="0" applyFont="1" applyFill="1" applyAlignment="1">
      <alignment horizontal="left" vertical="top"/>
    </xf>
    <xf numFmtId="0" fontId="121" fillId="2" borderId="0" xfId="0" applyFont="1" applyFill="1" applyAlignment="1">
      <alignment horizontal="right"/>
    </xf>
    <xf numFmtId="0" fontId="0" fillId="2" borderId="0" xfId="0" applyFill="1" applyAlignment="1">
      <alignment horizontal="right" indent="1"/>
    </xf>
    <xf numFmtId="0" fontId="72" fillId="2" borderId="0" xfId="0" applyFont="1" applyFill="1" applyAlignment="1">
      <alignment horizontal="right"/>
    </xf>
    <xf numFmtId="0" fontId="70" fillId="2" borderId="0" xfId="0" applyFont="1" applyFill="1" applyAlignment="1">
      <alignment horizontal="right"/>
    </xf>
    <xf numFmtId="0" fontId="86" fillId="2" borderId="0" xfId="0" applyFont="1" applyFill="1"/>
    <xf numFmtId="0" fontId="68" fillId="2" borderId="0" xfId="0" applyFont="1" applyFill="1" applyAlignment="1">
      <alignment horizontal="right" vertical="top"/>
    </xf>
    <xf numFmtId="14" fontId="18" fillId="2" borderId="0" xfId="0" applyNumberFormat="1" applyFont="1" applyFill="1" applyAlignment="1">
      <alignment horizontal="right"/>
    </xf>
    <xf numFmtId="0" fontId="2" fillId="2" borderId="0" xfId="0" applyFont="1" applyFill="1"/>
    <xf numFmtId="1" fontId="68" fillId="2" borderId="0" xfId="0" applyNumberFormat="1" applyFont="1" applyFill="1" applyBorder="1" applyAlignment="1">
      <alignment horizontal="right"/>
    </xf>
    <xf numFmtId="0" fontId="68" fillId="2" borderId="0" xfId="0" applyFont="1" applyFill="1" applyBorder="1" applyAlignment="1">
      <alignment horizontal="right"/>
    </xf>
    <xf numFmtId="0" fontId="68" fillId="2" borderId="0" xfId="0" applyFont="1" applyFill="1" applyBorder="1"/>
    <xf numFmtId="0" fontId="68" fillId="2" borderId="0" xfId="0" applyFont="1" applyFill="1" applyAlignment="1">
      <alignment horizontal="right"/>
    </xf>
    <xf numFmtId="14" fontId="68" fillId="2" borderId="0" xfId="0" applyNumberFormat="1" applyFont="1" applyFill="1" applyBorder="1" applyAlignment="1">
      <alignment horizontal="right"/>
    </xf>
    <xf numFmtId="0" fontId="27" fillId="2" borderId="0" xfId="0" applyFont="1" applyFill="1" applyBorder="1" applyAlignment="1">
      <alignment horizontal="left" indent="1"/>
    </xf>
    <xf numFmtId="0" fontId="18" fillId="2" borderId="0" xfId="0" applyFont="1" applyFill="1" applyAlignment="1">
      <alignment horizontal="right" indent="1"/>
    </xf>
    <xf numFmtId="14" fontId="68" fillId="2" borderId="0" xfId="0" applyNumberFormat="1" applyFont="1" applyFill="1" applyAlignment="1">
      <alignment horizontal="right"/>
    </xf>
    <xf numFmtId="3" fontId="68" fillId="2" borderId="0" xfId="0" applyNumberFormat="1" applyFont="1" applyFill="1" applyBorder="1" applyAlignment="1">
      <alignment horizontal="right"/>
    </xf>
    <xf numFmtId="3" fontId="17" fillId="2" borderId="0" xfId="0" applyNumberFormat="1" applyFont="1" applyFill="1" applyBorder="1"/>
    <xf numFmtId="3" fontId="68" fillId="2" borderId="0" xfId="0" applyNumberFormat="1" applyFont="1" applyFill="1" applyBorder="1"/>
    <xf numFmtId="0" fontId="86" fillId="2" borderId="0" xfId="0" applyFont="1" applyFill="1" applyBorder="1"/>
    <xf numFmtId="3" fontId="68" fillId="2" borderId="0" xfId="0" applyNumberFormat="1" applyFont="1" applyFill="1"/>
    <xf numFmtId="3" fontId="62" fillId="2" borderId="0" xfId="0" applyNumberFormat="1" applyFont="1" applyFill="1"/>
    <xf numFmtId="3" fontId="72" fillId="2" borderId="0" xfId="0" applyNumberFormat="1" applyFont="1" applyFill="1" applyBorder="1" applyAlignment="1">
      <alignment horizontal="right"/>
    </xf>
    <xf numFmtId="0" fontId="86" fillId="2" borderId="0" xfId="0" applyFont="1" applyFill="1" applyAlignment="1">
      <alignment horizontal="left" indent="1"/>
    </xf>
    <xf numFmtId="3" fontId="86" fillId="2" borderId="0" xfId="0" applyNumberFormat="1" applyFont="1" applyFill="1" applyBorder="1"/>
    <xf numFmtId="3" fontId="86" fillId="2" borderId="0" xfId="0" applyNumberFormat="1" applyFont="1" applyFill="1" applyBorder="1" applyAlignment="1">
      <alignment horizontal="right"/>
    </xf>
    <xf numFmtId="0" fontId="35" fillId="2" borderId="0" xfId="0" applyFont="1" applyFill="1" applyBorder="1" applyAlignment="1">
      <alignment horizontal="left" vertical="top" indent="1"/>
    </xf>
    <xf numFmtId="0" fontId="38" fillId="2" borderId="0" xfId="0" applyFont="1" applyFill="1" applyAlignment="1">
      <alignment vertical="top"/>
    </xf>
    <xf numFmtId="0" fontId="68" fillId="2" borderId="0" xfId="0" applyFont="1" applyFill="1" applyAlignment="1">
      <alignment vertical="top"/>
    </xf>
    <xf numFmtId="0" fontId="38" fillId="2" borderId="0" xfId="0" applyFont="1" applyFill="1" applyBorder="1" applyAlignment="1">
      <alignment vertical="top"/>
    </xf>
    <xf numFmtId="3" fontId="35" fillId="2" borderId="0" xfId="0" applyNumberFormat="1" applyFont="1" applyFill="1" applyBorder="1" applyAlignment="1">
      <alignment horizontal="right" vertical="top"/>
    </xf>
    <xf numFmtId="3" fontId="38" fillId="2" borderId="0" xfId="0" applyNumberFormat="1" applyFont="1" applyFill="1" applyBorder="1" applyAlignment="1">
      <alignment vertical="top"/>
    </xf>
    <xf numFmtId="3" fontId="68" fillId="2" borderId="0" xfId="0" applyNumberFormat="1" applyFont="1" applyFill="1" applyBorder="1" applyAlignment="1">
      <alignment horizontal="right" vertical="top"/>
    </xf>
    <xf numFmtId="0" fontId="86" fillId="2" borderId="0" xfId="0" applyFont="1" applyFill="1" applyBorder="1" applyAlignment="1">
      <alignment vertical="top"/>
    </xf>
    <xf numFmtId="0" fontId="38" fillId="2" borderId="0" xfId="0" applyFont="1" applyFill="1"/>
    <xf numFmtId="0" fontId="82" fillId="2" borderId="0" xfId="0" applyFont="1" applyFill="1" applyBorder="1" applyAlignment="1">
      <alignment horizontal="left" indent="1"/>
    </xf>
    <xf numFmtId="0" fontId="83" fillId="2" borderId="0" xfId="0" applyFont="1" applyFill="1" applyBorder="1"/>
    <xf numFmtId="0" fontId="84" fillId="2" borderId="0" xfId="0" applyFont="1" applyFill="1" applyBorder="1" applyAlignment="1">
      <alignment horizontal="right"/>
    </xf>
    <xf numFmtId="3" fontId="82" fillId="2" borderId="0" xfId="0" applyNumberFormat="1" applyFont="1" applyFill="1" applyBorder="1" applyAlignment="1">
      <alignment horizontal="right"/>
    </xf>
    <xf numFmtId="3" fontId="83" fillId="2" borderId="0" xfId="0" applyNumberFormat="1" applyFont="1" applyFill="1" applyBorder="1" applyAlignment="1">
      <alignment horizontal="right"/>
    </xf>
    <xf numFmtId="0" fontId="84" fillId="2" borderId="0" xfId="0" applyFont="1" applyFill="1" applyBorder="1" applyAlignment="1">
      <alignment horizontal="center"/>
    </xf>
    <xf numFmtId="0" fontId="85" fillId="2" borderId="0" xfId="0" applyFont="1" applyFill="1" applyBorder="1"/>
    <xf numFmtId="3" fontId="30" fillId="2" borderId="0" xfId="0" applyNumberFormat="1" applyFont="1" applyFill="1" applyBorder="1"/>
    <xf numFmtId="0" fontId="30" fillId="2" borderId="0" xfId="0" applyFont="1" applyFill="1" applyBorder="1"/>
    <xf numFmtId="0" fontId="68" fillId="2" borderId="2" xfId="0" applyFont="1" applyFill="1" applyBorder="1"/>
    <xf numFmtId="14" fontId="68" fillId="2" borderId="2" xfId="0" applyNumberFormat="1" applyFont="1" applyFill="1" applyBorder="1" applyAlignment="1">
      <alignment horizontal="left"/>
    </xf>
    <xf numFmtId="0" fontId="27" fillId="2" borderId="2" xfId="0" applyFont="1" applyFill="1" applyBorder="1" applyAlignment="1">
      <alignment horizontal="left" indent="1"/>
    </xf>
    <xf numFmtId="3" fontId="17" fillId="2" borderId="2" xfId="0" applyNumberFormat="1" applyFont="1" applyFill="1" applyBorder="1"/>
    <xf numFmtId="3" fontId="68" fillId="2" borderId="2" xfId="0" applyNumberFormat="1" applyFont="1" applyFill="1" applyBorder="1"/>
    <xf numFmtId="3" fontId="68" fillId="2" borderId="2" xfId="0" applyNumberFormat="1" applyFont="1" applyFill="1" applyBorder="1" applyAlignment="1">
      <alignment horizontal="left" indent="1"/>
    </xf>
    <xf numFmtId="0" fontId="86" fillId="2" borderId="2" xfId="0" applyFont="1" applyFill="1" applyBorder="1"/>
    <xf numFmtId="0" fontId="18" fillId="2" borderId="2" xfId="0" applyFont="1" applyFill="1" applyBorder="1"/>
    <xf numFmtId="3" fontId="87" fillId="2" borderId="2" xfId="0" applyNumberFormat="1" applyFont="1" applyFill="1" applyBorder="1"/>
    <xf numFmtId="0" fontId="68" fillId="2" borderId="2" xfId="0" applyFont="1" applyFill="1" applyBorder="1" applyAlignment="1">
      <alignment horizontal="left" indent="1"/>
    </xf>
    <xf numFmtId="0" fontId="20" fillId="2" borderId="0" xfId="1" applyFill="1" applyAlignment="1">
      <alignment horizontal="left" indent="1"/>
    </xf>
    <xf numFmtId="0" fontId="57" fillId="2" borderId="0" xfId="0" applyFont="1" applyFill="1" applyAlignment="1">
      <alignment horizontal="left" indent="1"/>
    </xf>
    <xf numFmtId="0" fontId="58" fillId="2" borderId="0" xfId="0" applyFont="1" applyFill="1" applyAlignment="1">
      <alignment horizontal="left" indent="1"/>
    </xf>
    <xf numFmtId="0" fontId="114" fillId="2" borderId="0" xfId="0" applyFont="1" applyFill="1"/>
    <xf numFmtId="0" fontId="26" fillId="2" borderId="0" xfId="0" applyFont="1" applyFill="1" applyBorder="1"/>
    <xf numFmtId="0" fontId="26" fillId="2" borderId="0" xfId="1" applyFont="1" applyFill="1" applyAlignment="1">
      <alignment horizontal="right"/>
    </xf>
    <xf numFmtId="0" fontId="0" fillId="14" borderId="7" xfId="0" applyFill="1" applyBorder="1"/>
    <xf numFmtId="0" fontId="114" fillId="2" borderId="0" xfId="0" applyFont="1" applyFill="1" applyAlignment="1">
      <alignment horizontal="right" indent="2"/>
    </xf>
    <xf numFmtId="0" fontId="151" fillId="2" borderId="0" xfId="0" applyFont="1" applyFill="1" applyAlignment="1">
      <alignment horizontal="left" indent="8"/>
    </xf>
    <xf numFmtId="0" fontId="45" fillId="2" borderId="0" xfId="0" applyFont="1" applyFill="1" applyAlignment="1">
      <alignment vertical="center" wrapText="1"/>
    </xf>
    <xf numFmtId="0" fontId="14" fillId="0" borderId="0" xfId="0" applyFont="1"/>
    <xf numFmtId="0" fontId="65" fillId="0" borderId="0" xfId="0" applyFont="1"/>
    <xf numFmtId="0" fontId="123" fillId="2" borderId="0" xfId="0" applyFont="1" applyFill="1" applyBorder="1" applyAlignment="1">
      <alignment horizontal="center"/>
    </xf>
    <xf numFmtId="14" fontId="26" fillId="3" borderId="1" xfId="0" applyNumberFormat="1" applyFont="1" applyFill="1" applyBorder="1" applyAlignment="1" applyProtection="1">
      <alignment horizontal="center"/>
      <protection locked="0"/>
    </xf>
    <xf numFmtId="4" fontId="26" fillId="3" borderId="1" xfId="0" applyNumberFormat="1" applyFont="1" applyFill="1" applyBorder="1" applyAlignment="1" applyProtection="1">
      <alignment horizontal="center"/>
      <protection locked="0"/>
    </xf>
    <xf numFmtId="1" fontId="68" fillId="3" borderId="14" xfId="0" applyNumberFormat="1" applyFont="1" applyFill="1" applyBorder="1" applyAlignment="1" applyProtection="1">
      <alignment horizontal="center" vertical="center"/>
      <protection locked="0"/>
    </xf>
    <xf numFmtId="2" fontId="68" fillId="3" borderId="14" xfId="0" applyNumberFormat="1" applyFont="1" applyFill="1" applyBorder="1" applyAlignment="1" applyProtection="1">
      <alignment horizontal="center" vertical="center"/>
      <protection locked="0"/>
    </xf>
    <xf numFmtId="0" fontId="27" fillId="3" borderId="14" xfId="0" applyFont="1" applyFill="1" applyBorder="1" applyAlignment="1" applyProtection="1">
      <alignment horizontal="center"/>
      <protection locked="0"/>
    </xf>
    <xf numFmtId="1" fontId="27" fillId="3" borderId="14" xfId="0" applyNumberFormat="1" applyFont="1" applyFill="1" applyBorder="1" applyAlignment="1" applyProtection="1">
      <alignment horizontal="center"/>
      <protection locked="0"/>
    </xf>
    <xf numFmtId="0" fontId="17" fillId="11" borderId="0" xfId="0" applyFont="1" applyFill="1" applyProtection="1">
      <protection locked="0"/>
    </xf>
    <xf numFmtId="0" fontId="143" fillId="2" borderId="0" xfId="0" applyFont="1" applyFill="1" applyBorder="1"/>
    <xf numFmtId="0" fontId="0" fillId="3" borderId="1" xfId="0" applyFill="1" applyBorder="1" applyAlignment="1" applyProtection="1">
      <alignment horizontal="center" vertical="center"/>
      <protection locked="0"/>
    </xf>
    <xf numFmtId="0" fontId="80" fillId="2" borderId="0" xfId="1" applyFont="1" applyFill="1" applyBorder="1" applyAlignment="1">
      <alignment vertical="center"/>
    </xf>
    <xf numFmtId="2" fontId="68" fillId="3" borderId="1" xfId="0" applyNumberFormat="1" applyFont="1" applyFill="1" applyBorder="1" applyAlignment="1" applyProtection="1">
      <alignment horizontal="center" vertical="center"/>
      <protection locked="0"/>
    </xf>
    <xf numFmtId="0" fontId="62" fillId="2" borderId="0" xfId="0" applyFont="1" applyFill="1" applyBorder="1" applyAlignment="1">
      <alignment horizontal="left" vertical="top" wrapText="1"/>
    </xf>
    <xf numFmtId="0" fontId="169" fillId="2" borderId="0" xfId="0" applyFont="1" applyFill="1" applyAlignment="1">
      <alignment vertical="top"/>
    </xf>
    <xf numFmtId="0" fontId="169" fillId="2" borderId="0" xfId="0" applyFont="1" applyFill="1" applyAlignment="1">
      <alignment horizontal="left"/>
    </xf>
    <xf numFmtId="0" fontId="170" fillId="2" borderId="0" xfId="0" applyFont="1" applyFill="1" applyAlignment="1">
      <alignment horizontal="left" vertical="top" indent="6"/>
    </xf>
    <xf numFmtId="0" fontId="18" fillId="2" borderId="0" xfId="0" applyFont="1" applyFill="1"/>
    <xf numFmtId="0" fontId="62" fillId="2" borderId="0" xfId="0" applyFont="1" applyFill="1" applyBorder="1" applyAlignment="1">
      <alignment horizontal="left" vertical="center" wrapText="1"/>
    </xf>
    <xf numFmtId="0" fontId="17" fillId="2" borderId="0" xfId="0" applyFont="1" applyFill="1" applyAlignment="1">
      <alignment vertical="center"/>
    </xf>
    <xf numFmtId="0" fontId="17" fillId="2" borderId="0" xfId="0" applyFont="1" applyFill="1" applyBorder="1" applyAlignment="1">
      <alignment vertical="center"/>
    </xf>
    <xf numFmtId="0" fontId="89" fillId="2" borderId="0" xfId="0" applyFont="1" applyFill="1" applyBorder="1"/>
    <xf numFmtId="0" fontId="117" fillId="2" borderId="0" xfId="0" applyFont="1" applyFill="1" applyAlignment="1">
      <alignment horizontal="left" indent="1"/>
    </xf>
    <xf numFmtId="0" fontId="17" fillId="17" borderId="0" xfId="0" applyFont="1" applyFill="1" applyBorder="1" applyAlignment="1">
      <alignment horizontal="left" vertical="center" indent="1"/>
    </xf>
    <xf numFmtId="0" fontId="17" fillId="17" borderId="0" xfId="0" applyFont="1" applyFill="1" applyBorder="1" applyAlignment="1">
      <alignment horizontal="left" vertical="center" indent="3"/>
    </xf>
    <xf numFmtId="0" fontId="123" fillId="2" borderId="0" xfId="0" applyFont="1" applyFill="1" applyProtection="1">
      <protection locked="0"/>
    </xf>
    <xf numFmtId="0" fontId="17" fillId="17" borderId="0" xfId="0" applyFont="1" applyFill="1" applyBorder="1" applyAlignment="1">
      <alignment horizontal="left" vertical="center" indent="5"/>
    </xf>
    <xf numFmtId="0" fontId="112" fillId="2" borderId="0" xfId="0" applyFont="1" applyFill="1" applyBorder="1" applyAlignment="1">
      <alignment horizontal="left" indent="1"/>
    </xf>
    <xf numFmtId="0" fontId="112" fillId="2" borderId="0" xfId="0" applyFont="1" applyFill="1" applyBorder="1" applyAlignment="1">
      <alignment horizontal="right"/>
    </xf>
    <xf numFmtId="0" fontId="62" fillId="10" borderId="0" xfId="0" applyFont="1" applyFill="1" applyAlignment="1">
      <alignment horizontal="left" vertical="top" wrapText="1"/>
    </xf>
    <xf numFmtId="0" fontId="117" fillId="0" borderId="0" xfId="0" applyFont="1"/>
    <xf numFmtId="0" fontId="45" fillId="2" borderId="0" xfId="0" applyFont="1" applyFill="1" applyAlignment="1" applyProtection="1">
      <alignment vertical="top" wrapText="1"/>
      <protection locked="0"/>
    </xf>
    <xf numFmtId="0" fontId="81" fillId="2" borderId="0" xfId="1" applyFont="1" applyFill="1" applyAlignment="1" applyProtection="1">
      <alignment horizontal="right" vertical="top" indent="1"/>
      <protection locked="0"/>
    </xf>
    <xf numFmtId="164" fontId="112" fillId="2" borderId="0" xfId="0" applyNumberFormat="1" applyFont="1" applyFill="1" applyBorder="1" applyAlignment="1">
      <alignment horizontal="right"/>
    </xf>
    <xf numFmtId="0" fontId="0" fillId="2" borderId="0" xfId="0" applyFill="1" applyProtection="1">
      <protection locked="0"/>
    </xf>
    <xf numFmtId="0" fontId="0" fillId="2" borderId="0" xfId="0" applyFill="1" applyBorder="1" applyProtection="1">
      <protection locked="0"/>
    </xf>
    <xf numFmtId="0" fontId="0" fillId="2" borderId="0" xfId="0" applyFont="1" applyFill="1" applyProtection="1">
      <protection locked="0"/>
    </xf>
    <xf numFmtId="0" fontId="0" fillId="2" borderId="0" xfId="0" applyFill="1" applyProtection="1"/>
    <xf numFmtId="0" fontId="143" fillId="2" borderId="0" xfId="0" applyFont="1" applyFill="1" applyAlignment="1" applyProtection="1">
      <alignment horizontal="left" indent="3"/>
    </xf>
    <xf numFmtId="0" fontId="22" fillId="2" borderId="0" xfId="0" applyFont="1" applyFill="1" applyAlignment="1" applyProtection="1">
      <alignment horizontal="left" indent="2"/>
    </xf>
    <xf numFmtId="0" fontId="22" fillId="2" borderId="0" xfId="0" applyFont="1" applyFill="1" applyAlignment="1" applyProtection="1">
      <alignment horizontal="left" indent="4"/>
    </xf>
    <xf numFmtId="0" fontId="168" fillId="0" borderId="0" xfId="0" applyFont="1" applyProtection="1"/>
    <xf numFmtId="0" fontId="0" fillId="2" borderId="0" xfId="0" applyFill="1" applyBorder="1" applyProtection="1"/>
    <xf numFmtId="0" fontId="0" fillId="2" borderId="0" xfId="0" applyFont="1" applyFill="1" applyProtection="1"/>
    <xf numFmtId="0" fontId="17" fillId="2" borderId="0" xfId="0" applyFont="1" applyFill="1" applyBorder="1" applyProtection="1"/>
    <xf numFmtId="0" fontId="17" fillId="2" borderId="0" xfId="0" applyFont="1" applyFill="1" applyProtection="1"/>
    <xf numFmtId="0" fontId="154" fillId="0" borderId="0" xfId="0" applyFont="1" applyBorder="1" applyProtection="1"/>
    <xf numFmtId="0" fontId="0" fillId="2" borderId="0" xfId="0" applyFont="1" applyFill="1" applyBorder="1" applyProtection="1"/>
    <xf numFmtId="0" fontId="155" fillId="0" borderId="0" xfId="0" applyFont="1" applyProtection="1"/>
    <xf numFmtId="0" fontId="0" fillId="2" borderId="0" xfId="0" applyFill="1" applyAlignment="1" applyProtection="1">
      <alignment vertical="top" wrapText="1"/>
    </xf>
    <xf numFmtId="0" fontId="153" fillId="0" borderId="0" xfId="0" applyFont="1" applyProtection="1"/>
    <xf numFmtId="0" fontId="0" fillId="2" borderId="0" xfId="0" applyFill="1" applyAlignment="1" applyProtection="1">
      <alignment vertical="top"/>
    </xf>
    <xf numFmtId="0" fontId="158" fillId="0" borderId="0" xfId="0" applyFont="1" applyProtection="1"/>
    <xf numFmtId="0" fontId="159" fillId="0" borderId="0" xfId="0" applyFont="1" applyBorder="1" applyProtection="1"/>
    <xf numFmtId="0" fontId="152" fillId="0" borderId="0" xfId="0" applyFont="1" applyAlignment="1" applyProtection="1">
      <alignment horizontal="left" indent="4"/>
    </xf>
    <xf numFmtId="0" fontId="10" fillId="2" borderId="0" xfId="0" applyFont="1" applyFill="1" applyProtection="1"/>
    <xf numFmtId="0" fontId="92" fillId="2" borderId="0" xfId="0" applyFont="1" applyFill="1" applyProtection="1"/>
    <xf numFmtId="0" fontId="28" fillId="2" borderId="0" xfId="0" applyFont="1" applyFill="1" applyAlignment="1" applyProtection="1">
      <alignment horizontal="right"/>
    </xf>
    <xf numFmtId="0" fontId="20" fillId="2" borderId="0" xfId="1" applyFill="1" applyProtection="1"/>
    <xf numFmtId="0" fontId="20" fillId="2" borderId="0" xfId="1" applyFill="1" applyAlignment="1" applyProtection="1">
      <alignment horizontal="right"/>
    </xf>
    <xf numFmtId="2" fontId="11" fillId="2" borderId="1" xfId="0" applyNumberFormat="1" applyFont="1" applyFill="1" applyBorder="1" applyProtection="1"/>
    <xf numFmtId="2" fontId="12" fillId="2" borderId="1" xfId="0" applyNumberFormat="1" applyFont="1" applyFill="1" applyBorder="1" applyProtection="1"/>
    <xf numFmtId="2" fontId="16" fillId="2" borderId="1" xfId="0" applyNumberFormat="1" applyFont="1" applyFill="1" applyBorder="1" applyProtection="1"/>
    <xf numFmtId="2" fontId="12" fillId="9" borderId="1" xfId="0" applyNumberFormat="1" applyFont="1" applyFill="1" applyBorder="1" applyProtection="1"/>
    <xf numFmtId="2" fontId="11" fillId="4" borderId="1" xfId="0" applyNumberFormat="1" applyFont="1" applyFill="1" applyBorder="1" applyProtection="1"/>
    <xf numFmtId="2" fontId="12" fillId="4" borderId="1" xfId="0" applyNumberFormat="1" applyFont="1" applyFill="1" applyBorder="1" applyProtection="1"/>
    <xf numFmtId="2" fontId="28" fillId="16" borderId="1" xfId="0" applyNumberFormat="1" applyFont="1" applyFill="1" applyBorder="1" applyProtection="1"/>
    <xf numFmtId="2" fontId="12" fillId="16" borderId="1" xfId="0" applyNumberFormat="1" applyFont="1" applyFill="1" applyBorder="1" applyProtection="1"/>
    <xf numFmtId="2" fontId="12" fillId="6" borderId="1" xfId="0" applyNumberFormat="1" applyFont="1" applyFill="1" applyBorder="1" applyProtection="1"/>
    <xf numFmtId="2" fontId="12" fillId="2" borderId="1" xfId="0" applyNumberFormat="1" applyFont="1" applyFill="1" applyBorder="1" applyAlignment="1" applyProtection="1">
      <alignment horizontal="left"/>
    </xf>
    <xf numFmtId="2" fontId="0" fillId="2" borderId="1" xfId="0" applyNumberFormat="1" applyFill="1" applyBorder="1" applyProtection="1"/>
    <xf numFmtId="2" fontId="0" fillId="9" borderId="1" xfId="0" applyNumberFormat="1" applyFill="1" applyBorder="1" applyProtection="1"/>
    <xf numFmtId="2" fontId="0" fillId="4" borderId="1" xfId="0" applyNumberFormat="1" applyFill="1" applyBorder="1" applyProtection="1"/>
    <xf numFmtId="2" fontId="0" fillId="16" borderId="1" xfId="0" applyNumberFormat="1" applyFill="1" applyBorder="1" applyAlignment="1" applyProtection="1">
      <alignment horizontal="center"/>
    </xf>
    <xf numFmtId="14" fontId="0" fillId="16" borderId="1" xfId="0" applyNumberFormat="1" applyFill="1" applyBorder="1" applyAlignment="1" applyProtection="1">
      <alignment horizontal="center"/>
    </xf>
    <xf numFmtId="2" fontId="0" fillId="16" borderId="1" xfId="0" applyNumberFormat="1" applyFill="1" applyBorder="1" applyProtection="1"/>
    <xf numFmtId="2" fontId="0" fillId="2" borderId="1" xfId="0" applyNumberFormat="1" applyFont="1" applyFill="1" applyBorder="1" applyProtection="1"/>
    <xf numFmtId="2" fontId="0" fillId="6" borderId="1" xfId="0" applyNumberFormat="1" applyFill="1" applyBorder="1" applyProtection="1"/>
    <xf numFmtId="2" fontId="0" fillId="2" borderId="1" xfId="0" applyNumberFormat="1" applyFill="1" applyBorder="1" applyAlignment="1" applyProtection="1">
      <alignment horizontal="left"/>
    </xf>
    <xf numFmtId="2" fontId="1" fillId="2" borderId="1" xfId="0" applyNumberFormat="1" applyFont="1" applyFill="1" applyBorder="1" applyProtection="1"/>
    <xf numFmtId="2" fontId="0" fillId="2" borderId="1" xfId="0" applyNumberFormat="1" applyFill="1" applyBorder="1" applyAlignment="1" applyProtection="1">
      <alignment horizontal="center"/>
    </xf>
    <xf numFmtId="2" fontId="1" fillId="4" borderId="1" xfId="0" applyNumberFormat="1" applyFont="1" applyFill="1" applyBorder="1" applyProtection="1"/>
    <xf numFmtId="2" fontId="0" fillId="4" borderId="1" xfId="0" applyNumberFormat="1" applyFill="1" applyBorder="1" applyAlignment="1" applyProtection="1">
      <alignment horizontal="center"/>
    </xf>
    <xf numFmtId="2" fontId="1" fillId="4" borderId="1" xfId="0" applyNumberFormat="1" applyFont="1" applyFill="1" applyBorder="1" applyAlignment="1" applyProtection="1">
      <alignment horizontal="left"/>
    </xf>
    <xf numFmtId="2" fontId="0" fillId="15" borderId="1" xfId="0" applyNumberFormat="1" applyFill="1" applyBorder="1" applyProtection="1"/>
    <xf numFmtId="2" fontId="26" fillId="2" borderId="1" xfId="0" applyNumberFormat="1" applyFont="1" applyFill="1" applyBorder="1" applyProtection="1"/>
    <xf numFmtId="2" fontId="3" fillId="2" borderId="1" xfId="0" applyNumberFormat="1" applyFont="1" applyFill="1" applyBorder="1" applyProtection="1"/>
    <xf numFmtId="2" fontId="21" fillId="2" borderId="1" xfId="0" applyNumberFormat="1" applyFont="1" applyFill="1" applyBorder="1" applyProtection="1"/>
    <xf numFmtId="2" fontId="3" fillId="4" borderId="1" xfId="0" applyNumberFormat="1" applyFont="1" applyFill="1" applyBorder="1" applyProtection="1"/>
    <xf numFmtId="2" fontId="5" fillId="4" borderId="1" xfId="0" applyNumberFormat="1" applyFont="1" applyFill="1" applyBorder="1" applyProtection="1"/>
    <xf numFmtId="2" fontId="5" fillId="2" borderId="1" xfId="0" applyNumberFormat="1" applyFont="1" applyFill="1" applyBorder="1" applyProtection="1"/>
    <xf numFmtId="2" fontId="0" fillId="3" borderId="1" xfId="0" applyNumberFormat="1" applyFill="1" applyBorder="1" applyAlignment="1" applyProtection="1">
      <alignment horizontal="center"/>
    </xf>
    <xf numFmtId="2" fontId="3" fillId="4" borderId="1" xfId="0" applyNumberFormat="1" applyFont="1" applyFill="1" applyBorder="1" applyAlignment="1" applyProtection="1">
      <alignment horizontal="center"/>
    </xf>
    <xf numFmtId="2" fontId="3" fillId="2" borderId="1" xfId="0" applyNumberFormat="1" applyFont="1" applyFill="1" applyBorder="1" applyAlignment="1" applyProtection="1">
      <alignment horizontal="center"/>
    </xf>
    <xf numFmtId="2" fontId="8" fillId="2" borderId="1" xfId="0" applyNumberFormat="1" applyFont="1" applyFill="1" applyBorder="1" applyProtection="1"/>
    <xf numFmtId="2" fontId="0" fillId="16" borderId="1" xfId="0" applyNumberFormat="1" applyFont="1" applyFill="1" applyBorder="1" applyProtection="1"/>
    <xf numFmtId="2" fontId="0" fillId="3" borderId="1" xfId="0" applyNumberFormat="1" applyFont="1" applyFill="1" applyBorder="1" applyProtection="1"/>
    <xf numFmtId="2" fontId="0" fillId="3" borderId="1" xfId="0" applyNumberFormat="1" applyFill="1" applyBorder="1" applyProtection="1"/>
    <xf numFmtId="2" fontId="3" fillId="4" borderId="1" xfId="0" applyNumberFormat="1" applyFont="1" applyFill="1" applyBorder="1" applyAlignment="1" applyProtection="1">
      <alignment horizontal="left"/>
    </xf>
    <xf numFmtId="2" fontId="0" fillId="5" borderId="1" xfId="0" applyNumberFormat="1" applyFont="1" applyFill="1" applyBorder="1" applyProtection="1"/>
    <xf numFmtId="2" fontId="3" fillId="2" borderId="1" xfId="0" applyNumberFormat="1" applyFont="1" applyFill="1" applyBorder="1" applyAlignment="1" applyProtection="1">
      <alignment horizontal="left"/>
    </xf>
    <xf numFmtId="2" fontId="2" fillId="2" borderId="1" xfId="0" applyNumberFormat="1" applyFont="1" applyFill="1" applyBorder="1" applyProtection="1"/>
    <xf numFmtId="2" fontId="2" fillId="4" borderId="1" xfId="0" applyNumberFormat="1" applyFont="1" applyFill="1" applyBorder="1" applyProtection="1"/>
    <xf numFmtId="2" fontId="25" fillId="5" borderId="1" xfId="0" applyNumberFormat="1" applyFont="1" applyFill="1" applyBorder="1" applyProtection="1"/>
    <xf numFmtId="2" fontId="0" fillId="2" borderId="12" xfId="0" applyNumberFormat="1" applyFill="1" applyBorder="1" applyAlignment="1" applyProtection="1">
      <alignment vertical="top" wrapText="1"/>
    </xf>
    <xf numFmtId="2" fontId="0" fillId="2" borderId="13" xfId="0" applyNumberFormat="1" applyFill="1" applyBorder="1" applyAlignment="1" applyProtection="1">
      <alignment vertical="top" wrapText="1"/>
    </xf>
    <xf numFmtId="2" fontId="25" fillId="5" borderId="1" xfId="0" applyNumberFormat="1" applyFont="1" applyFill="1" applyBorder="1" applyAlignment="1" applyProtection="1">
      <alignment horizontal="center"/>
    </xf>
    <xf numFmtId="2" fontId="0" fillId="5" borderId="1" xfId="0" applyNumberFormat="1" applyFill="1" applyBorder="1" applyProtection="1"/>
    <xf numFmtId="2" fontId="1" fillId="5" borderId="1" xfId="0" applyNumberFormat="1" applyFont="1" applyFill="1" applyBorder="1" applyProtection="1"/>
    <xf numFmtId="2" fontId="0" fillId="4" borderId="1" xfId="0" applyNumberFormat="1" applyFont="1" applyFill="1" applyBorder="1" applyProtection="1"/>
    <xf numFmtId="2" fontId="25" fillId="2" borderId="1" xfId="0" applyNumberFormat="1" applyFont="1" applyFill="1" applyBorder="1" applyProtection="1"/>
    <xf numFmtId="2" fontId="1" fillId="2" borderId="1" xfId="0" applyNumberFormat="1" applyFont="1" applyFill="1" applyBorder="1" applyAlignment="1" applyProtection="1">
      <alignment horizontal="center"/>
    </xf>
    <xf numFmtId="2" fontId="0" fillId="4" borderId="1" xfId="0" applyNumberFormat="1" applyFont="1" applyFill="1" applyBorder="1" applyAlignment="1" applyProtection="1">
      <alignment horizontal="center"/>
    </xf>
    <xf numFmtId="2" fontId="8" fillId="4" borderId="1" xfId="0" applyNumberFormat="1" applyFont="1" applyFill="1" applyBorder="1" applyProtection="1"/>
    <xf numFmtId="2" fontId="1" fillId="4" borderId="1" xfId="0" applyNumberFormat="1" applyFont="1" applyFill="1" applyBorder="1" applyAlignment="1" applyProtection="1">
      <alignment horizontal="center"/>
    </xf>
    <xf numFmtId="2" fontId="15" fillId="2" borderId="1" xfId="0" applyNumberFormat="1" applyFont="1" applyFill="1" applyBorder="1" applyProtection="1"/>
    <xf numFmtId="2" fontId="15" fillId="4" borderId="1" xfId="0" applyNumberFormat="1" applyFont="1" applyFill="1" applyBorder="1" applyProtection="1"/>
    <xf numFmtId="2" fontId="9" fillId="4" borderId="1" xfId="0" applyNumberFormat="1" applyFont="1" applyFill="1" applyBorder="1" applyProtection="1"/>
    <xf numFmtId="2" fontId="0" fillId="4" borderId="1" xfId="0" applyNumberFormat="1" applyFill="1" applyBorder="1" applyAlignment="1" applyProtection="1">
      <alignment horizontal="right"/>
    </xf>
    <xf numFmtId="2" fontId="9" fillId="2" borderId="1" xfId="0" applyNumberFormat="1" applyFont="1" applyFill="1" applyBorder="1" applyProtection="1"/>
    <xf numFmtId="2" fontId="0" fillId="2" borderId="1" xfId="0" applyNumberFormat="1" applyFont="1" applyFill="1" applyBorder="1" applyAlignment="1" applyProtection="1">
      <alignment horizontal="center"/>
    </xf>
    <xf numFmtId="2" fontId="0" fillId="3" borderId="1" xfId="0" applyNumberFormat="1" applyFont="1" applyFill="1" applyBorder="1" applyAlignment="1" applyProtection="1">
      <alignment horizontal="left"/>
    </xf>
    <xf numFmtId="2" fontId="9" fillId="7" borderId="1" xfId="0" applyNumberFormat="1" applyFont="1" applyFill="1" applyBorder="1" applyProtection="1"/>
    <xf numFmtId="2" fontId="0" fillId="7" borderId="1" xfId="0" applyNumberFormat="1" applyFill="1" applyBorder="1" applyProtection="1"/>
    <xf numFmtId="2" fontId="26" fillId="4" borderId="1" xfId="0" applyNumberFormat="1" applyFont="1" applyFill="1" applyBorder="1" applyAlignment="1" applyProtection="1">
      <alignment horizontal="right"/>
    </xf>
    <xf numFmtId="2" fontId="25" fillId="4" borderId="1" xfId="0" applyNumberFormat="1" applyFont="1" applyFill="1" applyBorder="1" applyProtection="1"/>
    <xf numFmtId="2" fontId="0" fillId="3" borderId="1" xfId="0" applyNumberFormat="1" applyFont="1" applyFill="1" applyBorder="1" applyAlignment="1" applyProtection="1">
      <alignment horizontal="center"/>
    </xf>
    <xf numFmtId="2" fontId="3" fillId="2" borderId="1" xfId="0" applyNumberFormat="1" applyFont="1" applyFill="1" applyBorder="1" applyAlignment="1" applyProtection="1">
      <alignment horizontal="center" vertical="center"/>
    </xf>
    <xf numFmtId="2" fontId="3" fillId="4" borderId="1" xfId="0" applyNumberFormat="1" applyFont="1" applyFill="1" applyBorder="1" applyAlignment="1" applyProtection="1">
      <alignment horizontal="center" vertical="center"/>
    </xf>
    <xf numFmtId="2" fontId="26" fillId="4" borderId="1" xfId="0" applyNumberFormat="1" applyFont="1" applyFill="1" applyBorder="1" applyProtection="1"/>
    <xf numFmtId="2" fontId="1" fillId="6" borderId="1" xfId="0" applyNumberFormat="1" applyFont="1" applyFill="1" applyBorder="1" applyProtection="1"/>
    <xf numFmtId="2" fontId="0" fillId="6" borderId="1" xfId="0" applyNumberFormat="1" applyFill="1" applyBorder="1" applyAlignment="1" applyProtection="1">
      <alignment horizontal="center"/>
    </xf>
    <xf numFmtId="2" fontId="0" fillId="6" borderId="1" xfId="0" applyNumberFormat="1" applyFill="1" applyBorder="1" applyAlignment="1" applyProtection="1">
      <alignment horizontal="left"/>
    </xf>
    <xf numFmtId="2" fontId="10" fillId="2" borderId="1" xfId="0" applyNumberFormat="1" applyFont="1" applyFill="1" applyBorder="1" applyProtection="1"/>
    <xf numFmtId="2" fontId="13" fillId="2" borderId="1" xfId="0" applyNumberFormat="1" applyFont="1" applyFill="1" applyBorder="1" applyProtection="1"/>
    <xf numFmtId="2" fontId="0" fillId="6" borderId="1" xfId="0" applyNumberFormat="1" applyFont="1" applyFill="1" applyBorder="1" applyProtection="1"/>
    <xf numFmtId="2" fontId="3" fillId="6" borderId="1" xfId="0" applyNumberFormat="1" applyFont="1" applyFill="1" applyBorder="1" applyAlignment="1" applyProtection="1">
      <alignment horizontal="center" vertical="center"/>
    </xf>
    <xf numFmtId="2" fontId="3" fillId="6" borderId="1" xfId="0" applyNumberFormat="1" applyFont="1" applyFill="1" applyBorder="1" applyAlignment="1" applyProtection="1">
      <alignment horizontal="center"/>
    </xf>
    <xf numFmtId="2" fontId="0" fillId="2" borderId="1" xfId="0" applyNumberFormat="1" applyFont="1" applyFill="1" applyBorder="1" applyAlignment="1" applyProtection="1">
      <alignment horizontal="left"/>
    </xf>
    <xf numFmtId="2" fontId="1" fillId="2" borderId="1" xfId="0" applyNumberFormat="1" applyFont="1" applyFill="1" applyBorder="1" applyAlignment="1" applyProtection="1">
      <alignment horizontal="center" vertical="top" wrapText="1"/>
    </xf>
    <xf numFmtId="2" fontId="0" fillId="6" borderId="1" xfId="0" applyNumberFormat="1" applyFont="1" applyFill="1" applyBorder="1" applyAlignment="1" applyProtection="1">
      <alignment horizontal="center"/>
    </xf>
    <xf numFmtId="2" fontId="1" fillId="6" borderId="1" xfId="0" applyNumberFormat="1" applyFont="1" applyFill="1" applyBorder="1" applyAlignment="1" applyProtection="1">
      <alignment horizontal="center" vertical="top" wrapText="1"/>
    </xf>
    <xf numFmtId="2" fontId="1" fillId="6" borderId="0" xfId="0" applyNumberFormat="1" applyFont="1" applyFill="1" applyAlignment="1" applyProtection="1">
      <alignment horizontal="center" vertical="top" wrapText="1"/>
    </xf>
    <xf numFmtId="2" fontId="1" fillId="6" borderId="0" xfId="0" applyNumberFormat="1" applyFont="1" applyFill="1" applyAlignment="1" applyProtection="1">
      <alignment vertical="top" wrapText="1"/>
    </xf>
    <xf numFmtId="2" fontId="1" fillId="6" borderId="0" xfId="0" applyNumberFormat="1" applyFont="1" applyFill="1" applyAlignment="1" applyProtection="1">
      <alignment horizontal="left" vertical="top" wrapText="1"/>
    </xf>
    <xf numFmtId="2" fontId="1" fillId="2" borderId="1" xfId="0" applyNumberFormat="1" applyFont="1" applyFill="1" applyBorder="1" applyAlignment="1" applyProtection="1">
      <alignment horizontal="left" vertical="top" wrapText="1"/>
    </xf>
    <xf numFmtId="2" fontId="0" fillId="2" borderId="1" xfId="0" applyNumberFormat="1" applyFont="1" applyFill="1" applyBorder="1" applyAlignment="1" applyProtection="1">
      <alignment horizontal="center" vertical="top" wrapText="1"/>
    </xf>
    <xf numFmtId="2" fontId="25" fillId="2" borderId="1" xfId="0" applyNumberFormat="1" applyFont="1" applyFill="1" applyBorder="1" applyAlignment="1" applyProtection="1">
      <alignment vertical="top"/>
    </xf>
    <xf numFmtId="2" fontId="25" fillId="2" borderId="1" xfId="0" applyNumberFormat="1" applyFont="1" applyFill="1" applyBorder="1" applyAlignment="1" applyProtection="1">
      <alignment horizontal="center"/>
    </xf>
    <xf numFmtId="2" fontId="3" fillId="6" borderId="1" xfId="0" applyNumberFormat="1" applyFont="1" applyFill="1" applyBorder="1" applyAlignment="1" applyProtection="1">
      <alignment horizontal="left"/>
    </xf>
    <xf numFmtId="2" fontId="26" fillId="2" borderId="1" xfId="0" applyNumberFormat="1" applyFont="1" applyFill="1" applyBorder="1" applyAlignment="1" applyProtection="1">
      <alignment horizontal="center"/>
    </xf>
    <xf numFmtId="2" fontId="26" fillId="3" borderId="1" xfId="0" applyNumberFormat="1" applyFont="1" applyFill="1" applyBorder="1" applyAlignment="1" applyProtection="1">
      <alignment horizontal="center"/>
    </xf>
    <xf numFmtId="2" fontId="0" fillId="6" borderId="0" xfId="0" applyNumberFormat="1" applyFill="1" applyBorder="1" applyProtection="1"/>
    <xf numFmtId="2" fontId="24" fillId="0" borderId="0" xfId="0" applyNumberFormat="1" applyFont="1" applyAlignment="1" applyProtection="1">
      <alignment horizontal="center"/>
    </xf>
    <xf numFmtId="2" fontId="24" fillId="3" borderId="0" xfId="0" applyNumberFormat="1" applyFont="1" applyFill="1" applyAlignment="1" applyProtection="1">
      <alignment horizontal="center"/>
    </xf>
    <xf numFmtId="2" fontId="24" fillId="6" borderId="0" xfId="0" applyNumberFormat="1" applyFont="1" applyFill="1" applyAlignment="1" applyProtection="1">
      <alignment vertical="center"/>
    </xf>
    <xf numFmtId="0" fontId="149" fillId="2" borderId="0" xfId="0" applyFont="1" applyFill="1" applyBorder="1" applyAlignment="1" applyProtection="1">
      <alignment vertical="top"/>
    </xf>
    <xf numFmtId="0" fontId="91" fillId="2" borderId="0" xfId="0" applyFont="1" applyFill="1" applyBorder="1" applyAlignment="1" applyProtection="1">
      <alignment vertical="top"/>
    </xf>
    <xf numFmtId="0" fontId="118" fillId="2" borderId="0" xfId="0" applyFont="1" applyFill="1" applyBorder="1" applyAlignment="1" applyProtection="1">
      <alignment vertical="top"/>
    </xf>
    <xf numFmtId="0" fontId="14" fillId="2" borderId="0" xfId="0" applyFont="1" applyFill="1" applyBorder="1" applyProtection="1"/>
    <xf numFmtId="0" fontId="68" fillId="2" borderId="0" xfId="0" applyFont="1" applyFill="1" applyBorder="1" applyAlignment="1" applyProtection="1">
      <alignment vertical="top"/>
    </xf>
    <xf numFmtId="0" fontId="68" fillId="2" borderId="0" xfId="0" applyFont="1" applyFill="1" applyBorder="1" applyAlignment="1" applyProtection="1">
      <alignment vertical="top" wrapText="1"/>
    </xf>
    <xf numFmtId="0" fontId="145" fillId="2" borderId="0" xfId="0" applyFont="1" applyFill="1" applyAlignment="1" applyProtection="1">
      <alignment vertical="center"/>
    </xf>
    <xf numFmtId="0" fontId="17" fillId="2" borderId="0" xfId="0" applyFont="1" applyFill="1" applyBorder="1" applyAlignment="1" applyProtection="1">
      <alignment vertical="top" wrapText="1"/>
    </xf>
    <xf numFmtId="0" fontId="165" fillId="2" borderId="0" xfId="0" applyFont="1" applyFill="1" applyAlignment="1" applyProtection="1">
      <alignment vertical="top"/>
    </xf>
    <xf numFmtId="0" fontId="60" fillId="2" borderId="0" xfId="0" applyFont="1" applyFill="1" applyBorder="1" applyAlignment="1" applyProtection="1">
      <alignment vertical="top" wrapText="1"/>
    </xf>
    <xf numFmtId="0" fontId="14" fillId="2" borderId="0" xfId="0" applyFont="1" applyFill="1" applyBorder="1" applyAlignment="1" applyProtection="1"/>
    <xf numFmtId="0" fontId="14" fillId="2" borderId="0" xfId="0" applyFont="1" applyFill="1" applyBorder="1" applyAlignment="1" applyProtection="1">
      <alignment vertical="center"/>
    </xf>
    <xf numFmtId="0" fontId="145" fillId="2" borderId="0" xfId="0" applyFont="1" applyFill="1" applyAlignment="1" applyProtection="1"/>
    <xf numFmtId="0" fontId="0" fillId="2" borderId="0" xfId="0" applyFont="1" applyFill="1" applyBorder="1" applyAlignment="1" applyProtection="1">
      <alignment vertical="top"/>
    </xf>
    <xf numFmtId="0" fontId="147" fillId="2" borderId="0" xfId="0" applyFont="1" applyFill="1" applyBorder="1" applyAlignment="1" applyProtection="1">
      <alignment horizontal="right"/>
    </xf>
    <xf numFmtId="0" fontId="146" fillId="2" borderId="0" xfId="0" applyFont="1" applyFill="1" applyAlignment="1" applyProtection="1">
      <alignment vertical="center"/>
    </xf>
    <xf numFmtId="0" fontId="0" fillId="2" borderId="0" xfId="0" applyFill="1" applyBorder="1" applyAlignment="1" applyProtection="1">
      <alignment vertical="top"/>
    </xf>
    <xf numFmtId="0" fontId="146" fillId="2" borderId="0" xfId="0" applyFont="1" applyFill="1" applyAlignment="1" applyProtection="1">
      <alignment vertical="top"/>
    </xf>
    <xf numFmtId="0" fontId="14" fillId="2" borderId="0" xfId="0" applyFont="1" applyFill="1" applyBorder="1" applyAlignment="1" applyProtection="1">
      <alignment horizontal="right" indent="1"/>
    </xf>
    <xf numFmtId="0" fontId="148" fillId="2" borderId="0" xfId="0" applyFont="1" applyFill="1" applyBorder="1" applyAlignment="1" applyProtection="1"/>
    <xf numFmtId="0" fontId="116" fillId="2" borderId="0" xfId="0" applyFont="1" applyFill="1" applyBorder="1" applyAlignment="1" applyProtection="1">
      <alignment vertical="top"/>
    </xf>
    <xf numFmtId="0" fontId="29" fillId="2" borderId="0" xfId="0" applyFont="1" applyFill="1" applyBorder="1" applyAlignment="1" applyProtection="1">
      <alignment vertical="top"/>
    </xf>
    <xf numFmtId="0" fontId="0" fillId="2" borderId="0" xfId="0" applyFont="1" applyFill="1" applyBorder="1" applyAlignment="1" applyProtection="1"/>
    <xf numFmtId="0" fontId="29" fillId="2" borderId="0" xfId="0" applyFont="1" applyFill="1" applyBorder="1" applyAlignment="1" applyProtection="1">
      <alignment horizontal="left" vertical="top" indent="1"/>
    </xf>
    <xf numFmtId="0" fontId="17" fillId="2" borderId="0" xfId="0" applyFont="1" applyFill="1" applyBorder="1" applyAlignment="1" applyProtection="1">
      <alignment horizontal="left" vertical="top" wrapText="1"/>
    </xf>
    <xf numFmtId="0" fontId="160" fillId="0" borderId="0" xfId="0" applyFont="1" applyProtection="1"/>
    <xf numFmtId="0" fontId="118" fillId="2" borderId="0" xfId="0" applyFont="1" applyFill="1" applyBorder="1" applyAlignment="1" applyProtection="1">
      <alignment horizontal="left" vertical="top" wrapText="1"/>
    </xf>
    <xf numFmtId="0" fontId="135" fillId="2" borderId="0" xfId="0" applyFont="1" applyFill="1" applyBorder="1" applyAlignment="1" applyProtection="1">
      <alignment vertical="top" wrapText="1"/>
    </xf>
    <xf numFmtId="0" fontId="17" fillId="2" borderId="0" xfId="0" applyFont="1" applyFill="1" applyBorder="1" applyAlignment="1" applyProtection="1">
      <alignment vertical="top"/>
    </xf>
    <xf numFmtId="0" fontId="0" fillId="2" borderId="9" xfId="0" applyFill="1" applyBorder="1" applyProtection="1"/>
    <xf numFmtId="0" fontId="17" fillId="2" borderId="7" xfId="0" applyFont="1" applyFill="1" applyBorder="1" applyAlignment="1" applyProtection="1">
      <alignment horizontal="left" vertical="top" wrapText="1"/>
    </xf>
    <xf numFmtId="0" fontId="17" fillId="2" borderId="7" xfId="0" applyFont="1" applyFill="1" applyBorder="1" applyProtection="1"/>
    <xf numFmtId="0" fontId="0" fillId="2" borderId="7" xfId="0" applyFill="1" applyBorder="1" applyProtection="1"/>
    <xf numFmtId="0" fontId="0" fillId="2" borderId="10" xfId="0" applyFill="1" applyBorder="1" applyProtection="1"/>
    <xf numFmtId="0" fontId="0" fillId="2" borderId="2" xfId="0" applyFill="1" applyBorder="1" applyProtection="1"/>
    <xf numFmtId="0" fontId="65" fillId="2" borderId="0" xfId="0" applyFont="1" applyFill="1" applyBorder="1" applyProtection="1"/>
    <xf numFmtId="0" fontId="88" fillId="2" borderId="0" xfId="0" applyFont="1" applyFill="1" applyBorder="1" applyAlignment="1" applyProtection="1">
      <alignment horizontal="right"/>
    </xf>
    <xf numFmtId="0" fontId="0" fillId="2" borderId="0" xfId="0" applyFill="1" applyBorder="1" applyAlignment="1" applyProtection="1"/>
    <xf numFmtId="0" fontId="0" fillId="2" borderId="3" xfId="0" applyFill="1" applyBorder="1" applyProtection="1"/>
    <xf numFmtId="0" fontId="163" fillId="2" borderId="0" xfId="0" applyFont="1" applyFill="1" applyBorder="1" applyAlignment="1" applyProtection="1"/>
    <xf numFmtId="0" fontId="164" fillId="2" borderId="0" xfId="0" applyFont="1" applyFill="1" applyBorder="1" applyAlignment="1" applyProtection="1">
      <alignment wrapText="1"/>
    </xf>
    <xf numFmtId="0" fontId="93" fillId="2" borderId="0" xfId="0" applyFont="1" applyFill="1" applyBorder="1" applyProtection="1"/>
    <xf numFmtId="0" fontId="14" fillId="2" borderId="0" xfId="0" applyFont="1" applyFill="1" applyBorder="1" applyAlignment="1" applyProtection="1">
      <alignment horizontal="right"/>
    </xf>
    <xf numFmtId="0" fontId="0" fillId="2" borderId="11" xfId="0" applyFill="1" applyBorder="1" applyProtection="1"/>
    <xf numFmtId="0" fontId="17" fillId="2" borderId="12" xfId="0" applyFont="1" applyFill="1" applyBorder="1" applyAlignment="1" applyProtection="1">
      <alignment horizontal="left" vertical="top" wrapText="1"/>
    </xf>
    <xf numFmtId="0" fontId="17" fillId="2" borderId="12" xfId="0" applyFont="1" applyFill="1" applyBorder="1" applyProtection="1"/>
    <xf numFmtId="0" fontId="0" fillId="2" borderId="12" xfId="0" applyFill="1" applyBorder="1" applyProtection="1"/>
    <xf numFmtId="0" fontId="0" fillId="2" borderId="13" xfId="0" applyFill="1" applyBorder="1" applyProtection="1"/>
    <xf numFmtId="0" fontId="29" fillId="2" borderId="0" xfId="0" applyFont="1" applyFill="1" applyBorder="1" applyProtection="1"/>
    <xf numFmtId="0" fontId="136" fillId="2" borderId="0" xfId="0" applyFont="1" applyFill="1" applyBorder="1" applyAlignment="1" applyProtection="1">
      <alignment vertical="top"/>
    </xf>
    <xf numFmtId="0" fontId="28" fillId="2" borderId="0" xfId="0" applyFont="1" applyFill="1" applyBorder="1" applyProtection="1"/>
    <xf numFmtId="0" fontId="92" fillId="2" borderId="0" xfId="0" applyFont="1" applyFill="1" applyAlignment="1" applyProtection="1">
      <alignment horizontal="left"/>
    </xf>
    <xf numFmtId="0" fontId="28" fillId="2" borderId="0" xfId="0" applyFont="1" applyFill="1" applyAlignment="1" applyProtection="1">
      <alignment horizontal="right" indent="1"/>
    </xf>
    <xf numFmtId="0" fontId="0" fillId="2" borderId="0" xfId="0" applyFill="1" applyBorder="1" applyAlignment="1" applyProtection="1">
      <alignment horizontal="left" vertical="top" wrapText="1"/>
    </xf>
    <xf numFmtId="0" fontId="0" fillId="4" borderId="0" xfId="0" applyFill="1" applyProtection="1"/>
    <xf numFmtId="0" fontId="56" fillId="4" borderId="0" xfId="0" applyFont="1" applyFill="1" applyAlignment="1" applyProtection="1"/>
    <xf numFmtId="0" fontId="1" fillId="4" borderId="0" xfId="0" applyFont="1" applyFill="1" applyProtection="1"/>
    <xf numFmtId="0" fontId="39" fillId="4" borderId="0" xfId="0" applyFont="1" applyFill="1" applyAlignment="1" applyProtection="1">
      <alignment horizontal="left"/>
    </xf>
    <xf numFmtId="0" fontId="41" fillId="4" borderId="0" xfId="0" applyFont="1" applyFill="1" applyAlignment="1" applyProtection="1"/>
    <xf numFmtId="0" fontId="55" fillId="4" borderId="0" xfId="0" applyFont="1" applyFill="1" applyAlignment="1" applyProtection="1">
      <alignment horizontal="right"/>
    </xf>
    <xf numFmtId="0" fontId="0" fillId="15" borderId="0" xfId="0" applyFill="1" applyProtection="1"/>
    <xf numFmtId="0" fontId="0" fillId="4" borderId="0" xfId="0" applyFill="1" applyAlignment="1" applyProtection="1">
      <alignment vertical="top"/>
    </xf>
    <xf numFmtId="0" fontId="17" fillId="4" borderId="0" xfId="0" applyFont="1" applyFill="1" applyProtection="1"/>
    <xf numFmtId="0" fontId="0" fillId="4" borderId="0" xfId="0" applyFill="1" applyBorder="1" applyProtection="1"/>
    <xf numFmtId="0" fontId="68" fillId="4" borderId="0" xfId="0" applyFont="1" applyFill="1" applyProtection="1"/>
    <xf numFmtId="0" fontId="17" fillId="11" borderId="0" xfId="0" applyFont="1" applyFill="1" applyBorder="1" applyProtection="1"/>
    <xf numFmtId="0" fontId="17" fillId="11" borderId="0" xfId="0" applyFont="1" applyFill="1" applyProtection="1"/>
    <xf numFmtId="0" fontId="144" fillId="4" borderId="0" xfId="0" applyFont="1" applyFill="1" applyProtection="1"/>
    <xf numFmtId="0" fontId="0" fillId="4" borderId="0" xfId="0" applyFill="1" applyProtection="1">
      <protection locked="0"/>
    </xf>
    <xf numFmtId="0" fontId="0" fillId="4" borderId="0" xfId="0" applyFill="1" applyAlignment="1" applyProtection="1">
      <alignment horizontal="center"/>
    </xf>
    <xf numFmtId="0" fontId="68" fillId="4" borderId="0" xfId="0" applyFont="1" applyFill="1" applyAlignment="1" applyProtection="1"/>
    <xf numFmtId="0" fontId="32" fillId="4" borderId="0" xfId="0" applyFont="1" applyFill="1" applyAlignment="1" applyProtection="1">
      <alignment horizontal="left"/>
    </xf>
    <xf numFmtId="0" fontId="117" fillId="4" borderId="0" xfId="0" applyFont="1" applyFill="1" applyAlignment="1" applyProtection="1">
      <alignment vertical="top"/>
    </xf>
    <xf numFmtId="0" fontId="17" fillId="4" borderId="0" xfId="0" applyFont="1" applyFill="1" applyAlignment="1" applyProtection="1">
      <alignment vertical="top"/>
    </xf>
    <xf numFmtId="0" fontId="17" fillId="4" borderId="0" xfId="0" applyFont="1" applyFill="1" applyAlignment="1" applyProtection="1">
      <alignment horizontal="center" vertical="top"/>
    </xf>
    <xf numFmtId="0" fontId="14" fillId="15" borderId="0" xfId="0" applyFont="1" applyFill="1" applyAlignment="1" applyProtection="1">
      <alignment vertical="top"/>
    </xf>
    <xf numFmtId="0" fontId="0" fillId="11" borderId="0" xfId="0" applyFill="1" applyProtection="1"/>
    <xf numFmtId="0" fontId="17" fillId="11" borderId="0" xfId="0" applyFont="1" applyFill="1" applyAlignment="1" applyProtection="1">
      <alignment horizontal="center" vertical="top"/>
    </xf>
    <xf numFmtId="0" fontId="132" fillId="15" borderId="0" xfId="0" applyFont="1" applyFill="1" applyAlignment="1" applyProtection="1">
      <alignment horizontal="left" vertical="center" indent="1"/>
    </xf>
    <xf numFmtId="0" fontId="62" fillId="4" borderId="0" xfId="0" applyFont="1" applyFill="1" applyAlignment="1" applyProtection="1">
      <alignment horizontal="center" vertical="top"/>
    </xf>
    <xf numFmtId="0" fontId="0" fillId="4" borderId="0" xfId="0" applyFont="1" applyFill="1" applyAlignment="1" applyProtection="1">
      <alignment horizontal="left" indent="1"/>
    </xf>
    <xf numFmtId="0" fontId="62" fillId="3" borderId="1" xfId="0" applyFont="1" applyFill="1" applyBorder="1" applyAlignment="1" applyProtection="1">
      <alignment horizontal="center"/>
    </xf>
    <xf numFmtId="0" fontId="0" fillId="11" borderId="0" xfId="0" applyFont="1" applyFill="1" applyAlignment="1" applyProtection="1">
      <alignment horizontal="left" indent="1"/>
    </xf>
    <xf numFmtId="0" fontId="0" fillId="4" borderId="0" xfId="0" applyFill="1" applyBorder="1" applyAlignment="1" applyProtection="1">
      <alignment horizontal="center" wrapText="1"/>
    </xf>
    <xf numFmtId="0" fontId="0" fillId="4" borderId="0" xfId="0" applyFill="1" applyBorder="1" applyAlignment="1" applyProtection="1">
      <alignment horizontal="center"/>
    </xf>
    <xf numFmtId="0" fontId="132" fillId="15" borderId="0" xfId="0" applyFont="1" applyFill="1" applyBorder="1" applyAlignment="1" applyProtection="1">
      <alignment horizontal="left" vertical="center" indent="1"/>
    </xf>
    <xf numFmtId="0" fontId="133" fillId="11" borderId="0" xfId="0" applyFont="1" applyFill="1" applyAlignment="1" applyProtection="1">
      <alignment horizontal="left" indent="1"/>
    </xf>
    <xf numFmtId="0" fontId="131" fillId="4" borderId="0" xfId="0" applyFont="1" applyFill="1" applyAlignment="1" applyProtection="1">
      <alignment horizontal="left" indent="1"/>
    </xf>
    <xf numFmtId="0" fontId="112" fillId="15" borderId="0" xfId="0" applyFont="1" applyFill="1" applyAlignment="1" applyProtection="1">
      <alignment horizontal="left" vertical="center" indent="1"/>
    </xf>
    <xf numFmtId="0" fontId="143" fillId="15" borderId="0" xfId="0" applyFont="1" applyFill="1" applyProtection="1"/>
    <xf numFmtId="0" fontId="0" fillId="4" borderId="0" xfId="0" applyFill="1" applyAlignment="1" applyProtection="1">
      <alignment horizontal="center"/>
      <protection locked="0"/>
    </xf>
    <xf numFmtId="14" fontId="115" fillId="2" borderId="0" xfId="0" applyNumberFormat="1" applyFont="1" applyFill="1" applyAlignment="1">
      <alignment horizontal="center"/>
    </xf>
    <xf numFmtId="0" fontId="0" fillId="2" borderId="0" xfId="0" applyFill="1" applyAlignment="1">
      <alignment vertical="center"/>
    </xf>
    <xf numFmtId="2" fontId="123" fillId="2" borderId="0" xfId="0" applyNumberFormat="1" applyFont="1" applyFill="1" applyAlignment="1"/>
    <xf numFmtId="14" fontId="138" fillId="2" borderId="0" xfId="0" applyNumberFormat="1" applyFont="1" applyFill="1"/>
    <xf numFmtId="0" fontId="0" fillId="0" borderId="0" xfId="0" applyProtection="1">
      <protection locked="0"/>
    </xf>
    <xf numFmtId="0" fontId="17" fillId="10" borderId="0" xfId="0" applyFont="1" applyFill="1" applyAlignment="1" applyProtection="1">
      <alignment horizontal="center"/>
      <protection locked="0"/>
    </xf>
    <xf numFmtId="0" fontId="125" fillId="11" borderId="0" xfId="0" applyFont="1" applyFill="1" applyAlignment="1" applyProtection="1">
      <alignment horizontal="right" indent="1"/>
    </xf>
    <xf numFmtId="0" fontId="125" fillId="2" borderId="0" xfId="0" applyFont="1" applyFill="1" applyProtection="1"/>
    <xf numFmtId="0" fontId="17" fillId="13" borderId="0" xfId="0" applyFont="1" applyFill="1" applyProtection="1"/>
    <xf numFmtId="0" fontId="127" fillId="13" borderId="7" xfId="0" applyFont="1" applyFill="1" applyBorder="1" applyAlignment="1" applyProtection="1">
      <alignment vertical="center"/>
    </xf>
    <xf numFmtId="0" fontId="128" fillId="13" borderId="7" xfId="0" applyFont="1" applyFill="1" applyBorder="1" applyAlignment="1" applyProtection="1">
      <alignment vertical="center"/>
    </xf>
    <xf numFmtId="0" fontId="17" fillId="13" borderId="7" xfId="0" applyFont="1" applyFill="1" applyBorder="1" applyProtection="1"/>
    <xf numFmtId="0" fontId="124" fillId="11" borderId="0" xfId="0" applyFont="1" applyFill="1" applyBorder="1" applyProtection="1"/>
    <xf numFmtId="0" fontId="17" fillId="2" borderId="9" xfId="0" applyFont="1" applyFill="1" applyBorder="1" applyProtection="1"/>
    <xf numFmtId="0" fontId="17" fillId="2" borderId="10" xfId="0" applyFont="1" applyFill="1" applyBorder="1" applyProtection="1"/>
    <xf numFmtId="0" fontId="17" fillId="2" borderId="2" xfId="0" applyFont="1" applyFill="1" applyBorder="1" applyProtection="1"/>
    <xf numFmtId="0" fontId="22" fillId="2" borderId="0" xfId="0" applyFont="1" applyFill="1" applyBorder="1" applyProtection="1"/>
    <xf numFmtId="0" fontId="17" fillId="2" borderId="3" xfId="0" applyFont="1" applyFill="1" applyBorder="1" applyProtection="1"/>
    <xf numFmtId="0" fontId="17" fillId="2" borderId="11" xfId="0" applyFont="1" applyFill="1" applyBorder="1" applyProtection="1"/>
    <xf numFmtId="0" fontId="17" fillId="2" borderId="13" xfId="0" applyFont="1" applyFill="1" applyBorder="1" applyProtection="1"/>
    <xf numFmtId="0" fontId="0" fillId="11" borderId="0" xfId="0" applyFill="1" applyBorder="1" applyProtection="1"/>
    <xf numFmtId="0" fontId="0" fillId="11" borderId="0" xfId="0" applyFont="1" applyFill="1" applyBorder="1" applyProtection="1"/>
    <xf numFmtId="0" fontId="0" fillId="2" borderId="0" xfId="0" applyFill="1" applyAlignment="1" applyProtection="1">
      <alignment horizontal="right"/>
    </xf>
    <xf numFmtId="0" fontId="26" fillId="2" borderId="0" xfId="0" applyFont="1" applyFill="1" applyProtection="1"/>
    <xf numFmtId="0" fontId="0" fillId="0" borderId="0" xfId="0" applyFill="1" applyProtection="1"/>
    <xf numFmtId="0" fontId="123" fillId="0" borderId="0" xfId="0" applyFont="1" applyFill="1" applyProtection="1"/>
    <xf numFmtId="0" fontId="0" fillId="2" borderId="0" xfId="0" applyFont="1" applyFill="1" applyAlignment="1" applyProtection="1">
      <alignment horizontal="right"/>
    </xf>
    <xf numFmtId="0" fontId="0" fillId="0" borderId="0" xfId="0" applyFont="1" applyFill="1" applyProtection="1"/>
    <xf numFmtId="0" fontId="113" fillId="11" borderId="0" xfId="0" applyFont="1" applyFill="1" applyProtection="1"/>
    <xf numFmtId="0" fontId="119" fillId="11" borderId="0" xfId="0" applyFont="1" applyFill="1" applyProtection="1"/>
    <xf numFmtId="0" fontId="56" fillId="11" borderId="0" xfId="0" applyFont="1" applyFill="1" applyProtection="1"/>
    <xf numFmtId="0" fontId="56" fillId="2" borderId="0" xfId="0" applyFont="1" applyFill="1" applyProtection="1"/>
    <xf numFmtId="0" fontId="39" fillId="2" borderId="0" xfId="0" applyFont="1" applyFill="1" applyAlignment="1" applyProtection="1">
      <alignment horizontal="left"/>
    </xf>
    <xf numFmtId="0" fontId="41" fillId="2" borderId="0" xfId="0" applyFont="1" applyFill="1" applyAlignment="1" applyProtection="1"/>
    <xf numFmtId="0" fontId="1" fillId="2" borderId="0" xfId="0" applyFont="1" applyFill="1" applyProtection="1"/>
    <xf numFmtId="0" fontId="1" fillId="2" borderId="0" xfId="0" applyFont="1" applyFill="1" applyBorder="1" applyProtection="1"/>
    <xf numFmtId="0" fontId="0" fillId="2" borderId="0" xfId="0" applyFill="1" applyBorder="1" applyAlignment="1" applyProtection="1">
      <alignment horizontal="right"/>
    </xf>
    <xf numFmtId="0" fontId="55" fillId="2" borderId="0" xfId="0" applyFont="1" applyFill="1" applyAlignment="1" applyProtection="1">
      <alignment horizontal="right"/>
    </xf>
    <xf numFmtId="0" fontId="17" fillId="11" borderId="2" xfId="0" applyFont="1" applyFill="1" applyBorder="1" applyProtection="1"/>
    <xf numFmtId="0" fontId="26" fillId="11" borderId="0" xfId="0" applyFont="1" applyFill="1" applyBorder="1" applyProtection="1"/>
    <xf numFmtId="0" fontId="29" fillId="2" borderId="0" xfId="0" applyFont="1" applyFill="1" applyProtection="1"/>
    <xf numFmtId="0" fontId="29" fillId="2" borderId="0" xfId="0" applyFont="1" applyFill="1" applyBorder="1" applyAlignment="1" applyProtection="1">
      <alignment horizontal="right"/>
    </xf>
    <xf numFmtId="0" fontId="25" fillId="2" borderId="0" xfId="0" applyFont="1" applyFill="1" applyAlignment="1" applyProtection="1">
      <alignment horizontal="left"/>
    </xf>
    <xf numFmtId="0" fontId="1" fillId="3" borderId="1" xfId="0" applyFont="1" applyFill="1" applyBorder="1" applyAlignment="1" applyProtection="1">
      <alignment horizontal="center"/>
    </xf>
    <xf numFmtId="0" fontId="62" fillId="11" borderId="0" xfId="0" applyFont="1" applyFill="1" applyProtection="1"/>
    <xf numFmtId="0" fontId="27" fillId="2" borderId="0" xfId="0" applyFont="1" applyFill="1" applyAlignment="1" applyProtection="1">
      <alignment horizontal="left" vertical="top"/>
    </xf>
    <xf numFmtId="0" fontId="1" fillId="11" borderId="0" xfId="0" applyFont="1" applyFill="1" applyProtection="1"/>
    <xf numFmtId="0" fontId="0" fillId="11" borderId="0" xfId="0" applyFont="1" applyFill="1" applyProtection="1"/>
    <xf numFmtId="1" fontId="13" fillId="11" borderId="0" xfId="0" applyNumberFormat="1" applyFont="1" applyFill="1" applyAlignment="1" applyProtection="1">
      <alignment horizontal="center"/>
    </xf>
    <xf numFmtId="0" fontId="76" fillId="11" borderId="0" xfId="0" applyFont="1" applyFill="1" applyAlignment="1" applyProtection="1">
      <alignment horizontal="left"/>
    </xf>
    <xf numFmtId="1" fontId="126" fillId="11" borderId="0" xfId="0" applyNumberFormat="1" applyFont="1" applyFill="1" applyAlignment="1" applyProtection="1">
      <alignment horizontal="center"/>
    </xf>
    <xf numFmtId="0" fontId="76" fillId="11" borderId="0" xfId="0" applyFont="1" applyFill="1" applyProtection="1"/>
    <xf numFmtId="0" fontId="42" fillId="11" borderId="0" xfId="0" applyFont="1" applyFill="1" applyProtection="1"/>
    <xf numFmtId="0" fontId="76" fillId="11" borderId="0" xfId="0" applyFont="1" applyFill="1" applyAlignment="1" applyProtection="1">
      <alignment horizontal="right"/>
    </xf>
    <xf numFmtId="0" fontId="112" fillId="11" borderId="0" xfId="0" applyFont="1" applyFill="1" applyProtection="1"/>
    <xf numFmtId="1" fontId="77" fillId="11" borderId="0" xfId="0" applyNumberFormat="1" applyFont="1" applyFill="1" applyAlignment="1" applyProtection="1">
      <alignment horizontal="center"/>
    </xf>
    <xf numFmtId="1" fontId="77" fillId="11" borderId="0" xfId="0" applyNumberFormat="1" applyFont="1" applyFill="1" applyAlignment="1" applyProtection="1">
      <alignment horizontal="left"/>
    </xf>
    <xf numFmtId="1" fontId="78" fillId="11" borderId="0" xfId="0" applyNumberFormat="1" applyFont="1" applyFill="1" applyAlignment="1" applyProtection="1">
      <alignment horizontal="left" vertical="top"/>
    </xf>
    <xf numFmtId="0" fontId="62" fillId="11" borderId="0" xfId="0" applyFont="1" applyFill="1" applyAlignment="1" applyProtection="1">
      <alignment horizontal="right"/>
    </xf>
    <xf numFmtId="0" fontId="62" fillId="11" borderId="0" xfId="0" applyFont="1" applyFill="1" applyAlignment="1" applyProtection="1">
      <alignment horizontal="center"/>
    </xf>
    <xf numFmtId="0" fontId="62" fillId="2" borderId="0" xfId="0" applyFont="1" applyFill="1" applyProtection="1"/>
    <xf numFmtId="14" fontId="123" fillId="2" borderId="0" xfId="0" applyNumberFormat="1" applyFont="1" applyFill="1" applyBorder="1" applyAlignment="1" applyProtection="1">
      <alignment horizontal="right"/>
    </xf>
    <xf numFmtId="14" fontId="0" fillId="11" borderId="0" xfId="0" applyNumberFormat="1" applyFill="1" applyAlignment="1" applyProtection="1">
      <alignment horizontal="center"/>
    </xf>
    <xf numFmtId="14" fontId="73" fillId="11" borderId="8" xfId="0" applyNumberFormat="1" applyFont="1" applyFill="1" applyBorder="1" applyAlignment="1" applyProtection="1">
      <alignment horizontal="center"/>
    </xf>
    <xf numFmtId="14" fontId="17" fillId="11" borderId="0" xfId="0" applyNumberFormat="1" applyFont="1" applyFill="1" applyAlignment="1" applyProtection="1">
      <alignment horizontal="right"/>
    </xf>
    <xf numFmtId="1" fontId="17" fillId="11" borderId="0" xfId="0" applyNumberFormat="1" applyFont="1" applyFill="1" applyAlignment="1" applyProtection="1">
      <alignment horizontal="center"/>
    </xf>
    <xf numFmtId="1" fontId="17" fillId="11" borderId="0" xfId="0" applyNumberFormat="1" applyFont="1" applyFill="1" applyProtection="1"/>
    <xf numFmtId="14" fontId="17" fillId="11" borderId="1" xfId="0" applyNumberFormat="1" applyFont="1" applyFill="1" applyBorder="1" applyAlignment="1" applyProtection="1">
      <alignment horizontal="center"/>
    </xf>
    <xf numFmtId="14" fontId="17" fillId="11" borderId="0" xfId="0" applyNumberFormat="1" applyFont="1" applyFill="1" applyBorder="1" applyAlignment="1" applyProtection="1">
      <alignment horizontal="center"/>
    </xf>
    <xf numFmtId="14" fontId="17" fillId="11" borderId="0" xfId="0" applyNumberFormat="1" applyFont="1" applyFill="1" applyAlignment="1" applyProtection="1">
      <alignment horizontal="center"/>
    </xf>
    <xf numFmtId="3" fontId="17" fillId="2" borderId="0" xfId="0" applyNumberFormat="1" applyFont="1" applyFill="1" applyProtection="1"/>
    <xf numFmtId="0" fontId="126" fillId="0" borderId="0" xfId="0" applyFont="1" applyFill="1" applyProtection="1"/>
    <xf numFmtId="14" fontId="171" fillId="11" borderId="1" xfId="0" applyNumberFormat="1" applyFont="1" applyFill="1" applyBorder="1" applyAlignment="1" applyProtection="1">
      <alignment horizontal="center"/>
    </xf>
    <xf numFmtId="1" fontId="68" fillId="11" borderId="0" xfId="0" applyNumberFormat="1" applyFont="1" applyFill="1" applyProtection="1"/>
    <xf numFmtId="9" fontId="17" fillId="2" borderId="0" xfId="0" applyNumberFormat="1" applyFont="1" applyFill="1" applyProtection="1"/>
    <xf numFmtId="0" fontId="58" fillId="2" borderId="0" xfId="0" applyFont="1" applyFill="1" applyAlignment="1" applyProtection="1">
      <alignment horizontal="left" vertical="top" indent="1"/>
    </xf>
    <xf numFmtId="0" fontId="123" fillId="2" borderId="0" xfId="0" applyFont="1" applyFill="1" applyAlignment="1" applyProtection="1">
      <alignment horizontal="right"/>
    </xf>
    <xf numFmtId="0" fontId="80" fillId="2" borderId="0" xfId="1" applyFont="1" applyFill="1" applyProtection="1"/>
    <xf numFmtId="0" fontId="73" fillId="11" borderId="0" xfId="0" applyFont="1" applyFill="1" applyProtection="1"/>
    <xf numFmtId="0" fontId="17" fillId="0" borderId="0" xfId="0" applyFont="1" applyFill="1" applyProtection="1"/>
    <xf numFmtId="0" fontId="0" fillId="0" borderId="0" xfId="0" applyFill="1" applyBorder="1" applyProtection="1"/>
    <xf numFmtId="0" fontId="0" fillId="0" borderId="0" xfId="0" applyFont="1" applyFill="1" applyBorder="1" applyProtection="1"/>
    <xf numFmtId="0" fontId="17" fillId="0" borderId="0" xfId="0" applyFont="1" applyFill="1" applyAlignment="1" applyProtection="1">
      <alignment horizontal="right"/>
    </xf>
    <xf numFmtId="0" fontId="17" fillId="0" borderId="0" xfId="0" applyFont="1" applyFill="1" applyBorder="1" applyProtection="1"/>
    <xf numFmtId="0" fontId="26" fillId="0" borderId="0" xfId="0" applyFont="1" applyFill="1" applyProtection="1"/>
    <xf numFmtId="0" fontId="0" fillId="0" borderId="0" xfId="0" applyFill="1" applyAlignment="1" applyProtection="1">
      <alignment horizontal="right"/>
    </xf>
    <xf numFmtId="0" fontId="0" fillId="0" borderId="0" xfId="0" applyFont="1" applyFill="1" applyBorder="1" applyAlignment="1" applyProtection="1">
      <alignment vertical="top" wrapText="1"/>
    </xf>
    <xf numFmtId="0" fontId="150" fillId="2" borderId="0" xfId="0" applyFont="1" applyFill="1" applyProtection="1"/>
    <xf numFmtId="0" fontId="143" fillId="2" borderId="0" xfId="0" applyFont="1" applyFill="1" applyAlignment="1" applyProtection="1">
      <alignment vertical="center" wrapText="1"/>
    </xf>
    <xf numFmtId="0" fontId="92" fillId="2" borderId="0" xfId="0" applyFont="1" applyFill="1" applyAlignment="1" applyProtection="1">
      <alignment horizontal="right"/>
    </xf>
    <xf numFmtId="0" fontId="14" fillId="2" borderId="0" xfId="0" applyFont="1" applyFill="1" applyProtection="1"/>
    <xf numFmtId="166" fontId="112" fillId="2" borderId="0" xfId="0" applyNumberFormat="1" applyFont="1" applyFill="1" applyBorder="1" applyAlignment="1">
      <alignment horizontal="right"/>
    </xf>
    <xf numFmtId="0" fontId="17" fillId="3" borderId="1" xfId="0" applyFont="1" applyFill="1" applyBorder="1" applyAlignment="1" applyProtection="1">
      <alignment horizontal="center"/>
      <protection locked="0"/>
    </xf>
    <xf numFmtId="14" fontId="122" fillId="2" borderId="0" xfId="0" applyNumberFormat="1" applyFont="1" applyFill="1" applyAlignment="1" applyProtection="1">
      <alignment horizontal="right"/>
      <protection locked="0"/>
    </xf>
    <xf numFmtId="0" fontId="0" fillId="2" borderId="0" xfId="0" applyFont="1" applyFill="1" applyAlignment="1">
      <alignment horizontal="left" indent="1"/>
    </xf>
    <xf numFmtId="0" fontId="0" fillId="4" borderId="12" xfId="0" applyFill="1" applyBorder="1" applyProtection="1"/>
    <xf numFmtId="0" fontId="68" fillId="4" borderId="12" xfId="0" applyFont="1" applyFill="1" applyBorder="1" applyProtection="1"/>
    <xf numFmtId="0" fontId="173" fillId="4" borderId="0" xfId="0" applyFont="1" applyFill="1"/>
    <xf numFmtId="0" fontId="93" fillId="4" borderId="0" xfId="0" applyFont="1" applyFill="1" applyAlignment="1">
      <alignment vertical="top"/>
    </xf>
    <xf numFmtId="0" fontId="17" fillId="4" borderId="0" xfId="0" applyFont="1" applyFill="1"/>
    <xf numFmtId="0" fontId="13" fillId="4" borderId="0" xfId="0" applyFont="1" applyFill="1" applyAlignment="1">
      <alignment vertical="top" wrapText="1"/>
    </xf>
    <xf numFmtId="0" fontId="175" fillId="4" borderId="0" xfId="0" applyFont="1" applyFill="1" applyAlignment="1">
      <alignment horizontal="left" vertical="top"/>
    </xf>
    <xf numFmtId="0" fontId="65" fillId="4" borderId="0" xfId="0" applyFont="1" applyFill="1"/>
    <xf numFmtId="0" fontId="65" fillId="4" borderId="0" xfId="0" applyFont="1" applyFill="1" applyAlignment="1">
      <alignment horizontal="left" indent="1"/>
    </xf>
    <xf numFmtId="0" fontId="14" fillId="4" borderId="0" xfId="0" applyFont="1" applyFill="1" applyAlignment="1">
      <alignment horizontal="left" indent="1"/>
    </xf>
    <xf numFmtId="0" fontId="0" fillId="18" borderId="0" xfId="0" applyFill="1"/>
    <xf numFmtId="0" fontId="10" fillId="15" borderId="0" xfId="0" applyFont="1" applyFill="1" applyAlignment="1">
      <alignment vertical="top"/>
    </xf>
    <xf numFmtId="0" fontId="0" fillId="15" borderId="0" xfId="0" applyFill="1"/>
    <xf numFmtId="0" fontId="93" fillId="15" borderId="0" xfId="0" applyFont="1" applyFill="1" applyAlignment="1">
      <alignment vertical="top"/>
    </xf>
    <xf numFmtId="0" fontId="17" fillId="15" borderId="0" xfId="0" applyFont="1" applyFill="1"/>
    <xf numFmtId="0" fontId="0" fillId="15" borderId="0" xfId="0" applyFill="1" applyAlignment="1">
      <alignment vertical="top"/>
    </xf>
    <xf numFmtId="0" fontId="129" fillId="4" borderId="0" xfId="1" applyFont="1" applyFill="1" applyAlignment="1">
      <alignment horizontal="left"/>
    </xf>
    <xf numFmtId="0" fontId="0" fillId="4" borderId="0" xfId="0" applyFill="1" applyAlignment="1">
      <alignment vertical="top"/>
    </xf>
    <xf numFmtId="0" fontId="10" fillId="15" borderId="0" xfId="0" applyFont="1" applyFill="1" applyAlignment="1">
      <alignment horizontal="left"/>
    </xf>
    <xf numFmtId="0" fontId="0" fillId="15" borderId="0" xfId="0" applyFill="1" applyAlignment="1">
      <alignment horizontal="left"/>
    </xf>
    <xf numFmtId="0" fontId="14" fillId="4" borderId="0" xfId="0" applyFont="1" applyFill="1" applyAlignment="1">
      <alignment horizontal="right" indent="1"/>
    </xf>
    <xf numFmtId="0" fontId="14" fillId="4" borderId="0" xfId="0" applyFont="1" applyFill="1" applyAlignment="1">
      <alignment horizontal="right" vertical="top" indent="1"/>
    </xf>
    <xf numFmtId="0" fontId="17" fillId="4" borderId="0" xfId="0" applyFont="1" applyFill="1" applyAlignment="1">
      <alignment horizontal="left"/>
    </xf>
    <xf numFmtId="0" fontId="0" fillId="4" borderId="0" xfId="0" applyFill="1" applyAlignment="1">
      <alignment vertical="center"/>
    </xf>
    <xf numFmtId="0" fontId="93" fillId="15" borderId="0" xfId="0" applyFont="1" applyFill="1" applyAlignment="1">
      <alignment vertical="center"/>
    </xf>
    <xf numFmtId="0" fontId="14" fillId="4" borderId="0" xfId="0" applyFont="1" applyFill="1" applyAlignment="1">
      <alignment horizontal="right" vertical="center"/>
    </xf>
    <xf numFmtId="0" fontId="28" fillId="4" borderId="0" xfId="0" applyFont="1" applyFill="1"/>
    <xf numFmtId="0" fontId="67" fillId="4" borderId="0" xfId="1" applyFont="1" applyFill="1" applyAlignment="1"/>
    <xf numFmtId="0" fontId="112" fillId="15" borderId="0" xfId="0" applyFont="1" applyFill="1" applyAlignment="1">
      <alignment horizontal="right"/>
    </xf>
    <xf numFmtId="0" fontId="112" fillId="4" borderId="0" xfId="0" applyFont="1" applyFill="1"/>
    <xf numFmtId="0" fontId="55" fillId="4" borderId="0" xfId="0" applyFont="1" applyFill="1" applyAlignment="1">
      <alignment horizontal="right"/>
    </xf>
    <xf numFmtId="0" fontId="67" fillId="4" borderId="0" xfId="1" applyFont="1" applyFill="1" applyAlignment="1">
      <alignment horizontal="left"/>
    </xf>
    <xf numFmtId="0" fontId="112" fillId="4" borderId="0" xfId="0" applyFont="1" applyFill="1" applyAlignment="1">
      <alignment horizontal="right"/>
    </xf>
    <xf numFmtId="0" fontId="25" fillId="4" borderId="0" xfId="0" applyFont="1" applyFill="1" applyAlignment="1">
      <alignment horizontal="right" indent="1"/>
    </xf>
    <xf numFmtId="0" fontId="176" fillId="15" borderId="0" xfId="0" applyFont="1" applyFill="1" applyAlignment="1">
      <alignment horizontal="left" indent="6"/>
    </xf>
    <xf numFmtId="0" fontId="177" fillId="15" borderId="0" xfId="0" applyFont="1" applyFill="1"/>
    <xf numFmtId="0" fontId="176" fillId="4" borderId="0" xfId="0" applyFont="1" applyFill="1"/>
    <xf numFmtId="0" fontId="177" fillId="4" borderId="0" xfId="0" applyFont="1" applyFill="1"/>
    <xf numFmtId="0" fontId="65" fillId="11" borderId="0" xfId="0" applyFont="1" applyFill="1"/>
    <xf numFmtId="0" fontId="177" fillId="4" borderId="0" xfId="0" applyFont="1" applyFill="1" applyAlignment="1">
      <alignment horizontal="right" indent="1"/>
    </xf>
    <xf numFmtId="1" fontId="178" fillId="15" borderId="0" xfId="0" applyNumberFormat="1" applyFont="1" applyFill="1" applyAlignment="1">
      <alignment horizontal="right"/>
    </xf>
    <xf numFmtId="0" fontId="178" fillId="15" borderId="0" xfId="0" applyFont="1" applyFill="1"/>
    <xf numFmtId="0" fontId="178" fillId="4" borderId="0" xfId="0" applyFont="1" applyFill="1"/>
    <xf numFmtId="1" fontId="178" fillId="4" borderId="0" xfId="0" applyNumberFormat="1" applyFont="1" applyFill="1" applyAlignment="1">
      <alignment horizontal="right"/>
    </xf>
    <xf numFmtId="1" fontId="17" fillId="11" borderId="0" xfId="0" applyNumberFormat="1" applyFont="1" applyFill="1" applyAlignment="1">
      <alignment horizontal="right"/>
    </xf>
    <xf numFmtId="0" fontId="17" fillId="11" borderId="0" xfId="0" applyFont="1" applyFill="1"/>
    <xf numFmtId="14" fontId="178" fillId="15" borderId="0" xfId="0" applyNumberFormat="1" applyFont="1" applyFill="1" applyAlignment="1">
      <alignment horizontal="right"/>
    </xf>
    <xf numFmtId="14" fontId="178" fillId="4" borderId="0" xfId="0" applyNumberFormat="1" applyFont="1" applyFill="1" applyAlignment="1">
      <alignment horizontal="right"/>
    </xf>
    <xf numFmtId="14" fontId="17" fillId="11" borderId="0" xfId="0" applyNumberFormat="1" applyFont="1" applyFill="1"/>
    <xf numFmtId="2" fontId="178" fillId="15" borderId="0" xfId="0" applyNumberFormat="1" applyFont="1" applyFill="1"/>
    <xf numFmtId="2" fontId="178" fillId="4" borderId="0" xfId="0" applyNumberFormat="1" applyFont="1" applyFill="1"/>
    <xf numFmtId="1" fontId="17" fillId="11" borderId="0" xfId="0" applyNumberFormat="1" applyFont="1" applyFill="1"/>
    <xf numFmtId="0" fontId="178" fillId="15" borderId="0" xfId="0" applyFont="1" applyFill="1" applyAlignment="1">
      <alignment horizontal="right"/>
    </xf>
    <xf numFmtId="2" fontId="178" fillId="4" borderId="0" xfId="0" applyNumberFormat="1" applyFont="1" applyFill="1" applyAlignment="1">
      <alignment horizontal="right"/>
    </xf>
    <xf numFmtId="0" fontId="17" fillId="11" borderId="0" xfId="0" applyFont="1" applyFill="1" applyAlignment="1">
      <alignment horizontal="right"/>
    </xf>
    <xf numFmtId="1" fontId="71" fillId="4" borderId="0" xfId="0" applyNumberFormat="1" applyFont="1" applyFill="1" applyAlignment="1">
      <alignment horizontal="center"/>
    </xf>
    <xf numFmtId="2" fontId="17" fillId="11" borderId="0" xfId="0" applyNumberFormat="1" applyFont="1" applyFill="1"/>
    <xf numFmtId="2" fontId="179" fillId="15" borderId="0" xfId="0" applyNumberFormat="1" applyFont="1" applyFill="1" applyAlignment="1">
      <alignment horizontal="right"/>
    </xf>
    <xf numFmtId="2" fontId="179" fillId="4" borderId="0" xfId="0" applyNumberFormat="1" applyFont="1" applyFill="1" applyAlignment="1">
      <alignment horizontal="right"/>
    </xf>
    <xf numFmtId="1" fontId="178" fillId="4" borderId="0" xfId="0" applyNumberFormat="1" applyFont="1" applyFill="1"/>
    <xf numFmtId="2" fontId="62" fillId="11" borderId="0" xfId="0" applyNumberFormat="1" applyFont="1" applyFill="1" applyAlignment="1">
      <alignment horizontal="right"/>
    </xf>
    <xf numFmtId="0" fontId="68" fillId="4" borderId="0" xfId="0" applyFont="1" applyFill="1"/>
    <xf numFmtId="2" fontId="68" fillId="4" borderId="0" xfId="0" applyNumberFormat="1" applyFont="1" applyFill="1"/>
    <xf numFmtId="0" fontId="42" fillId="15" borderId="0" xfId="0" applyFont="1" applyFill="1" applyAlignment="1">
      <alignment horizontal="left" indent="2"/>
    </xf>
    <xf numFmtId="0" fontId="65" fillId="15" borderId="0" xfId="0" applyFont="1" applyFill="1"/>
    <xf numFmtId="0" fontId="0" fillId="4" borderId="0" xfId="0" applyFill="1" applyAlignment="1">
      <alignment wrapText="1"/>
    </xf>
    <xf numFmtId="0" fontId="0" fillId="4" borderId="0" xfId="0" applyFill="1" applyAlignment="1">
      <alignment vertical="top" wrapText="1"/>
    </xf>
    <xf numFmtId="0" fontId="1" fillId="4" borderId="0" xfId="0" applyFont="1" applyFill="1" applyAlignment="1">
      <alignment vertical="top" wrapText="1"/>
    </xf>
    <xf numFmtId="0" fontId="10" fillId="15" borderId="0" xfId="0" applyFont="1" applyFill="1"/>
    <xf numFmtId="0" fontId="180" fillId="18" borderId="0" xfId="0" applyFont="1" applyFill="1" applyAlignment="1">
      <alignment horizontal="left"/>
    </xf>
    <xf numFmtId="0" fontId="180" fillId="18" borderId="0" xfId="0" applyFont="1" applyFill="1"/>
    <xf numFmtId="0" fontId="1" fillId="18" borderId="0" xfId="0" applyFont="1" applyFill="1" applyAlignment="1">
      <alignment horizontal="left" vertical="top" indent="1"/>
    </xf>
    <xf numFmtId="0" fontId="17" fillId="18" borderId="0" xfId="0" applyFont="1" applyFill="1" applyAlignment="1">
      <alignment horizontal="left" indent="1"/>
    </xf>
    <xf numFmtId="0" fontId="17" fillId="18" borderId="0" xfId="0" applyFont="1" applyFill="1"/>
    <xf numFmtId="0" fontId="1" fillId="18" borderId="16" xfId="0" applyFont="1" applyFill="1" applyBorder="1" applyAlignment="1">
      <alignment vertical="top" wrapText="1"/>
    </xf>
    <xf numFmtId="0" fontId="1" fillId="18" borderId="17" xfId="0" applyFont="1" applyFill="1" applyBorder="1" applyAlignment="1">
      <alignment vertical="top" wrapText="1"/>
    </xf>
    <xf numFmtId="0" fontId="1" fillId="18" borderId="18" xfId="0" applyFont="1" applyFill="1" applyBorder="1" applyAlignment="1">
      <alignment vertical="top" wrapText="1"/>
    </xf>
    <xf numFmtId="0" fontId="1" fillId="18" borderId="0" xfId="0" applyFont="1" applyFill="1" applyAlignment="1">
      <alignment horizontal="left" indent="1"/>
    </xf>
    <xf numFmtId="0" fontId="180" fillId="4" borderId="0" xfId="0" applyFont="1" applyFill="1" applyProtection="1"/>
    <xf numFmtId="0" fontId="0" fillId="18" borderId="0" xfId="0" applyFill="1" applyProtection="1"/>
    <xf numFmtId="0" fontId="0" fillId="4" borderId="2" xfId="0" applyFill="1" applyBorder="1" applyAlignment="1" applyProtection="1">
      <alignment horizontal="left" indent="1"/>
    </xf>
    <xf numFmtId="0" fontId="0" fillId="4" borderId="0" xfId="0" applyFill="1" applyBorder="1" applyAlignment="1" applyProtection="1">
      <alignment horizontal="left" indent="1"/>
    </xf>
    <xf numFmtId="0" fontId="0" fillId="4" borderId="3" xfId="0" applyFill="1" applyBorder="1" applyAlignment="1" applyProtection="1">
      <alignment horizontal="left" indent="1"/>
    </xf>
    <xf numFmtId="0" fontId="17" fillId="4" borderId="0" xfId="0" applyFont="1" applyFill="1" applyBorder="1" applyAlignment="1" applyProtection="1">
      <alignment vertical="top" wrapText="1"/>
    </xf>
    <xf numFmtId="0" fontId="17" fillId="4" borderId="11" xfId="0" applyFont="1" applyFill="1" applyBorder="1" applyAlignment="1" applyProtection="1">
      <alignment vertical="top" wrapText="1"/>
    </xf>
    <xf numFmtId="0" fontId="17" fillId="4" borderId="12" xfId="0" applyFont="1" applyFill="1" applyBorder="1" applyAlignment="1" applyProtection="1">
      <alignment vertical="top" wrapText="1"/>
    </xf>
    <xf numFmtId="0" fontId="17" fillId="4" borderId="13" xfId="0" applyFont="1" applyFill="1" applyBorder="1" applyAlignment="1" applyProtection="1">
      <alignment vertical="top" wrapText="1"/>
    </xf>
    <xf numFmtId="0" fontId="10" fillId="15" borderId="0" xfId="0" applyFont="1" applyFill="1" applyAlignment="1"/>
    <xf numFmtId="0" fontId="17" fillId="10" borderId="2" xfId="0" applyFont="1" applyFill="1" applyBorder="1"/>
    <xf numFmtId="0" fontId="23" fillId="10" borderId="0" xfId="0" applyFont="1" applyFill="1" applyAlignment="1">
      <alignment horizontal="left"/>
    </xf>
    <xf numFmtId="0" fontId="29" fillId="10" borderId="0" xfId="0" applyFont="1" applyFill="1"/>
    <xf numFmtId="0" fontId="23" fillId="4" borderId="0" xfId="0" applyFont="1" applyFill="1" applyAlignment="1">
      <alignment horizontal="left"/>
    </xf>
    <xf numFmtId="0" fontId="0" fillId="4" borderId="0" xfId="0" applyFill="1" applyAlignment="1">
      <alignment horizontal="left"/>
    </xf>
    <xf numFmtId="0" fontId="29" fillId="4" borderId="0" xfId="0" applyFont="1" applyFill="1" applyAlignment="1">
      <alignment horizontal="left" indent="2"/>
    </xf>
    <xf numFmtId="0" fontId="23" fillId="11" borderId="0" xfId="0" applyFont="1" applyFill="1" applyAlignment="1">
      <alignment horizontal="left" indent="2"/>
    </xf>
    <xf numFmtId="0" fontId="0" fillId="11" borderId="0" xfId="0" applyFill="1"/>
    <xf numFmtId="0" fontId="62" fillId="11" borderId="0" xfId="0" applyFont="1" applyFill="1"/>
    <xf numFmtId="0" fontId="62" fillId="4" borderId="0" xfId="0" applyFont="1" applyFill="1"/>
    <xf numFmtId="0" fontId="23" fillId="4" borderId="0" xfId="0" applyFont="1" applyFill="1"/>
    <xf numFmtId="0" fontId="26" fillId="4" borderId="0" xfId="0" applyFont="1" applyFill="1"/>
    <xf numFmtId="0" fontId="29" fillId="10" borderId="0" xfId="0" applyFont="1" applyFill="1" applyAlignment="1">
      <alignment horizontal="left" indent="2"/>
    </xf>
    <xf numFmtId="0" fontId="29" fillId="4" borderId="0" xfId="0" applyFont="1" applyFill="1" applyAlignment="1">
      <alignment horizontal="left"/>
    </xf>
    <xf numFmtId="0" fontId="29" fillId="11" borderId="0" xfId="0" applyFont="1" applyFill="1"/>
    <xf numFmtId="0" fontId="29" fillId="4" borderId="0" xfId="0" applyFont="1" applyFill="1"/>
    <xf numFmtId="0" fontId="17" fillId="10" borderId="0" xfId="0" applyFont="1" applyFill="1" applyAlignment="1">
      <alignment horizontal="left"/>
    </xf>
    <xf numFmtId="0" fontId="17" fillId="4" borderId="0" xfId="0" applyFont="1" applyFill="1" applyAlignment="1">
      <alignment vertical="top"/>
    </xf>
    <xf numFmtId="0" fontId="17" fillId="4" borderId="0" xfId="0" applyFont="1" applyFill="1" applyAlignment="1">
      <alignment vertical="top" wrapText="1"/>
    </xf>
    <xf numFmtId="0" fontId="17" fillId="4" borderId="0" xfId="0" applyFont="1" applyFill="1" applyAlignment="1">
      <alignment horizontal="left" vertical="top" wrapText="1"/>
    </xf>
    <xf numFmtId="0" fontId="81" fillId="10" borderId="0" xfId="1" applyFont="1" applyFill="1"/>
    <xf numFmtId="0" fontId="81" fillId="4" borderId="0" xfId="1" applyFont="1" applyFill="1" applyAlignment="1">
      <alignment horizontal="left"/>
    </xf>
    <xf numFmtId="0" fontId="62" fillId="4" borderId="0" xfId="0" applyFont="1" applyFill="1" applyAlignment="1">
      <alignment horizontal="left"/>
    </xf>
    <xf numFmtId="0" fontId="120" fillId="10" borderId="0" xfId="0" applyFont="1" applyFill="1"/>
    <xf numFmtId="0" fontId="120" fillId="4" borderId="0" xfId="0" applyFont="1" applyFill="1"/>
    <xf numFmtId="0" fontId="69" fillId="4" borderId="0" xfId="0" applyFont="1" applyFill="1" applyAlignment="1">
      <alignment horizontal="left"/>
    </xf>
    <xf numFmtId="0" fontId="69" fillId="4" borderId="0" xfId="0" applyFont="1" applyFill="1"/>
    <xf numFmtId="0" fontId="65" fillId="10" borderId="0" xfId="0" applyFont="1" applyFill="1" applyAlignment="1">
      <alignment horizontal="left" vertical="top" wrapText="1"/>
    </xf>
    <xf numFmtId="0" fontId="65" fillId="4" borderId="0" xfId="0" applyFont="1" applyFill="1" applyAlignment="1">
      <alignment horizontal="left" vertical="top" wrapText="1"/>
    </xf>
    <xf numFmtId="0" fontId="65" fillId="11" borderId="0" xfId="0" applyFont="1" applyFill="1" applyAlignment="1">
      <alignment horizontal="left" vertical="top" wrapText="1"/>
    </xf>
    <xf numFmtId="0" fontId="27" fillId="4" borderId="0" xfId="0" applyFont="1" applyFill="1"/>
    <xf numFmtId="0" fontId="17" fillId="4" borderId="0" xfId="0" applyFont="1" applyFill="1" applyAlignment="1">
      <alignment horizontal="left" indent="1"/>
    </xf>
    <xf numFmtId="0" fontId="80" fillId="4" borderId="0" xfId="1" applyFont="1" applyFill="1" applyAlignment="1">
      <alignment horizontal="left" vertical="top" indent="1"/>
    </xf>
    <xf numFmtId="0" fontId="17" fillId="10" borderId="1" xfId="0" applyFont="1" applyFill="1" applyBorder="1" applyAlignment="1">
      <alignment horizontal="left" indent="1"/>
    </xf>
    <xf numFmtId="49" fontId="17" fillId="10" borderId="3" xfId="0" applyNumberFormat="1" applyFont="1" applyFill="1" applyBorder="1"/>
    <xf numFmtId="0" fontId="17" fillId="10" borderId="5" xfId="0" applyFont="1" applyFill="1" applyBorder="1" applyAlignment="1">
      <alignment horizontal="center" vertical="center"/>
    </xf>
    <xf numFmtId="14" fontId="17" fillId="3" borderId="4" xfId="0" applyNumberFormat="1" applyFont="1" applyFill="1" applyBorder="1" applyAlignment="1" applyProtection="1">
      <alignment horizontal="center" vertical="top"/>
      <protection locked="0"/>
    </xf>
    <xf numFmtId="0" fontId="17" fillId="10" borderId="2" xfId="0" applyFont="1" applyFill="1" applyBorder="1" applyAlignment="1">
      <alignment horizontal="center" vertical="top"/>
    </xf>
    <xf numFmtId="0" fontId="17" fillId="4" borderId="0" xfId="0" applyFont="1" applyFill="1" applyAlignment="1">
      <alignment horizontal="right"/>
    </xf>
    <xf numFmtId="49" fontId="17" fillId="4" borderId="5" xfId="0" applyNumberFormat="1" applyFont="1" applyFill="1" applyBorder="1" applyAlignment="1">
      <alignment horizontal="left"/>
    </xf>
    <xf numFmtId="0" fontId="17" fillId="4" borderId="6" xfId="0" applyFont="1" applyFill="1" applyBorder="1" applyAlignment="1">
      <alignment horizontal="left" indent="1"/>
    </xf>
    <xf numFmtId="0" fontId="17" fillId="3" borderId="1" xfId="0" applyFont="1" applyFill="1" applyBorder="1" applyAlignment="1" applyProtection="1">
      <alignment horizontal="center" vertical="center"/>
      <protection locked="0"/>
    </xf>
    <xf numFmtId="0" fontId="17" fillId="4" borderId="0" xfId="0" applyFont="1" applyFill="1" applyAlignment="1">
      <alignment horizontal="left" vertical="center" indent="2"/>
    </xf>
    <xf numFmtId="49" fontId="17" fillId="11" borderId="0" xfId="0" applyNumberFormat="1" applyFont="1" applyFill="1" applyAlignment="1">
      <alignment horizontal="left" vertical="center" indent="2"/>
    </xf>
    <xf numFmtId="14" fontId="17" fillId="10" borderId="5" xfId="0" applyNumberFormat="1" applyFont="1" applyFill="1" applyBorder="1" applyAlignment="1">
      <alignment horizontal="center"/>
    </xf>
    <xf numFmtId="0" fontId="65" fillId="11" borderId="2" xfId="0" applyFont="1" applyFill="1" applyBorder="1" applyAlignment="1">
      <alignment horizontal="left" vertical="top" wrapText="1"/>
    </xf>
    <xf numFmtId="0" fontId="17" fillId="4" borderId="3" xfId="0" applyFont="1" applyFill="1" applyBorder="1" applyAlignment="1">
      <alignment horizontal="center"/>
    </xf>
    <xf numFmtId="0" fontId="68" fillId="3" borderId="1" xfId="0" applyFont="1" applyFill="1" applyBorder="1" applyAlignment="1" applyProtection="1">
      <alignment horizontal="center"/>
      <protection locked="0"/>
    </xf>
    <xf numFmtId="0" fontId="17" fillId="3" borderId="4" xfId="0" applyFont="1" applyFill="1" applyBorder="1" applyAlignment="1" applyProtection="1">
      <alignment horizontal="center" vertical="top"/>
      <protection locked="0"/>
    </xf>
    <xf numFmtId="49" fontId="17" fillId="4" borderId="1" xfId="0" applyNumberFormat="1" applyFont="1" applyFill="1" applyBorder="1" applyAlignment="1">
      <alignment horizontal="left"/>
    </xf>
    <xf numFmtId="14" fontId="17" fillId="3" borderId="1" xfId="0" applyNumberFormat="1" applyFont="1" applyFill="1" applyBorder="1" applyAlignment="1" applyProtection="1">
      <alignment horizontal="center" vertical="center"/>
      <protection locked="0"/>
    </xf>
    <xf numFmtId="14" fontId="17" fillId="10" borderId="2" xfId="0" applyNumberFormat="1" applyFont="1" applyFill="1" applyBorder="1" applyAlignment="1">
      <alignment horizontal="center" vertical="top"/>
    </xf>
    <xf numFmtId="0" fontId="17" fillId="3" borderId="4" xfId="0" applyFont="1" applyFill="1" applyBorder="1" applyAlignment="1">
      <alignment horizontal="center"/>
    </xf>
    <xf numFmtId="0" fontId="17" fillId="3" borderId="1" xfId="0" applyFont="1" applyFill="1" applyBorder="1" applyAlignment="1">
      <alignment horizontal="center"/>
    </xf>
    <xf numFmtId="0" fontId="19" fillId="10" borderId="0" xfId="0" applyFont="1" applyFill="1" applyAlignment="1" applyProtection="1">
      <alignment horizontal="center"/>
      <protection locked="0"/>
    </xf>
    <xf numFmtId="0" fontId="97" fillId="13" borderId="0" xfId="0" applyFont="1" applyFill="1" applyAlignment="1" applyProtection="1">
      <alignment horizontal="center"/>
      <protection locked="0"/>
    </xf>
    <xf numFmtId="0" fontId="19"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19" fillId="12" borderId="0" xfId="0" applyFont="1" applyFill="1" applyAlignment="1" applyProtection="1">
      <alignment horizontal="center"/>
      <protection locked="0"/>
    </xf>
    <xf numFmtId="0" fontId="68" fillId="10" borderId="0" xfId="0" applyFont="1" applyFill="1" applyAlignment="1" applyProtection="1">
      <alignment horizontal="center"/>
      <protection locked="0"/>
    </xf>
    <xf numFmtId="0" fontId="18" fillId="10" borderId="0" xfId="0" applyFont="1" applyFill="1" applyAlignment="1" applyProtection="1">
      <alignment horizontal="center"/>
      <protection locked="0"/>
    </xf>
    <xf numFmtId="0" fontId="106" fillId="10" borderId="0" xfId="0" applyFont="1" applyFill="1" applyAlignment="1" applyProtection="1">
      <alignment horizontal="center"/>
      <protection locked="0"/>
    </xf>
    <xf numFmtId="0" fontId="72"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17" fillId="10" borderId="0" xfId="0" applyFont="1" applyFill="1" applyAlignment="1" applyProtection="1">
      <alignment horizontal="center" vertical="center"/>
      <protection locked="0"/>
    </xf>
    <xf numFmtId="0" fontId="123" fillId="13" borderId="15" xfId="0" applyFont="1" applyFill="1" applyBorder="1"/>
    <xf numFmtId="0" fontId="62" fillId="4" borderId="1" xfId="0" applyFont="1" applyFill="1" applyBorder="1" applyAlignment="1">
      <alignment horizontal="left" indent="1"/>
    </xf>
    <xf numFmtId="0" fontId="62" fillId="4" borderId="19" xfId="0" applyFont="1" applyFill="1" applyBorder="1" applyAlignment="1">
      <alignment horizontal="left" indent="1"/>
    </xf>
    <xf numFmtId="0" fontId="66" fillId="10" borderId="0" xfId="0" applyFont="1" applyFill="1"/>
    <xf numFmtId="0" fontId="66" fillId="4" borderId="0" xfId="0" applyFont="1" applyFill="1" applyAlignment="1">
      <alignment horizontal="left"/>
    </xf>
    <xf numFmtId="0" fontId="89" fillId="2" borderId="0" xfId="0" applyFont="1" applyFill="1" applyBorder="1" applyAlignment="1" applyProtection="1">
      <alignment vertical="top"/>
    </xf>
    <xf numFmtId="0" fontId="14" fillId="2" borderId="0" xfId="0" applyFont="1" applyFill="1" applyBorder="1" applyAlignment="1" applyProtection="1">
      <alignment vertical="top"/>
    </xf>
    <xf numFmtId="0" fontId="17" fillId="2" borderId="12" xfId="0" applyFont="1" applyFill="1" applyBorder="1" applyAlignment="1" applyProtection="1">
      <alignment vertical="top" wrapText="1"/>
    </xf>
    <xf numFmtId="0" fontId="182" fillId="2" borderId="0" xfId="0" applyFont="1" applyFill="1" applyBorder="1" applyProtection="1"/>
    <xf numFmtId="0" fontId="76" fillId="11" borderId="0" xfId="0" applyFont="1" applyFill="1" applyAlignment="1">
      <alignment horizontal="left" indent="3"/>
    </xf>
    <xf numFmtId="0" fontId="36" fillId="2" borderId="0" xfId="0" applyFont="1" applyFill="1" applyAlignment="1" applyProtection="1">
      <alignment horizontal="right"/>
      <protection locked="0"/>
    </xf>
    <xf numFmtId="0" fontId="79" fillId="2" borderId="0" xfId="0" applyFont="1" applyFill="1" applyAlignment="1" applyProtection="1">
      <alignment horizontal="left" vertical="top"/>
      <protection locked="0"/>
    </xf>
    <xf numFmtId="0" fontId="150" fillId="2" borderId="0" xfId="0" applyFont="1" applyFill="1" applyProtection="1">
      <protection locked="0"/>
    </xf>
    <xf numFmtId="0" fontId="151" fillId="2" borderId="0" xfId="0" applyFont="1" applyFill="1" applyAlignment="1" applyProtection="1">
      <alignment horizontal="left" indent="2"/>
      <protection locked="0"/>
    </xf>
    <xf numFmtId="0" fontId="151" fillId="2" borderId="0" xfId="0" applyFont="1" applyFill="1" applyAlignment="1" applyProtection="1">
      <alignment horizontal="left" indent="8"/>
      <protection locked="0"/>
    </xf>
    <xf numFmtId="0" fontId="112" fillId="2" borderId="0" xfId="0" applyFont="1" applyFill="1" applyProtection="1">
      <protection locked="0"/>
    </xf>
    <xf numFmtId="0" fontId="17" fillId="2" borderId="0" xfId="0" applyFont="1" applyFill="1" applyProtection="1">
      <protection locked="0"/>
    </xf>
    <xf numFmtId="0" fontId="75" fillId="2" borderId="0" xfId="0" applyFont="1" applyFill="1" applyAlignment="1" applyProtection="1">
      <alignment horizontal="left" vertical="top" wrapText="1"/>
      <protection locked="0"/>
    </xf>
    <xf numFmtId="0" fontId="75" fillId="2" borderId="0" xfId="0" applyFont="1" applyFill="1" applyAlignment="1" applyProtection="1">
      <alignment vertical="top" wrapText="1"/>
      <protection locked="0"/>
    </xf>
    <xf numFmtId="0" fontId="17" fillId="2" borderId="0" xfId="0" applyFont="1" applyFill="1" applyAlignment="1" applyProtection="1">
      <alignment vertical="top"/>
      <protection locked="0"/>
    </xf>
    <xf numFmtId="0" fontId="169" fillId="2" borderId="0" xfId="0" applyFont="1" applyFill="1" applyAlignment="1" applyProtection="1">
      <alignment horizontal="left"/>
      <protection locked="0"/>
    </xf>
    <xf numFmtId="0" fontId="74" fillId="2" borderId="0" xfId="0" applyFont="1" applyFill="1" applyAlignment="1" applyProtection="1">
      <alignment vertical="center"/>
      <protection locked="0"/>
    </xf>
    <xf numFmtId="0" fontId="33" fillId="2" borderId="0" xfId="0" applyFont="1" applyFill="1" applyAlignment="1" applyProtection="1">
      <alignment vertical="center"/>
      <protection locked="0"/>
    </xf>
    <xf numFmtId="0" fontId="33" fillId="2" borderId="0" xfId="0" applyFont="1" applyFill="1" applyAlignment="1" applyProtection="1">
      <alignment horizontal="left" vertical="top"/>
      <protection locked="0"/>
    </xf>
    <xf numFmtId="0" fontId="75" fillId="2" borderId="0" xfId="0" applyFont="1" applyFill="1" applyAlignment="1" applyProtection="1">
      <alignment horizontal="left" vertical="top"/>
      <protection locked="0"/>
    </xf>
    <xf numFmtId="0" fontId="75" fillId="2" borderId="0" xfId="0" applyFont="1" applyFill="1" applyAlignment="1" applyProtection="1">
      <alignment vertical="top"/>
      <protection locked="0"/>
    </xf>
    <xf numFmtId="0" fontId="65" fillId="2" borderId="0" xfId="0" applyFont="1" applyFill="1" applyProtection="1">
      <protection locked="0"/>
    </xf>
    <xf numFmtId="0" fontId="67" fillId="2" borderId="0" xfId="1" applyFont="1" applyFill="1" applyBorder="1" applyProtection="1">
      <protection locked="0"/>
    </xf>
    <xf numFmtId="0" fontId="67" fillId="2" borderId="0" xfId="1" applyFont="1" applyFill="1" applyBorder="1" applyAlignment="1" applyProtection="1">
      <alignment horizontal="left"/>
      <protection locked="0"/>
    </xf>
    <xf numFmtId="0" fontId="45" fillId="2" borderId="0" xfId="0" applyFont="1" applyFill="1" applyAlignment="1" applyProtection="1">
      <alignment horizontal="right" vertical="top" indent="1"/>
      <protection locked="0"/>
    </xf>
    <xf numFmtId="0" fontId="34" fillId="2" borderId="0" xfId="0" applyFont="1" applyFill="1" applyAlignment="1" applyProtection="1">
      <alignment vertical="top"/>
      <protection locked="0"/>
    </xf>
    <xf numFmtId="0" fontId="14" fillId="2" borderId="0" xfId="0" applyFont="1" applyFill="1" applyProtection="1">
      <protection locked="0"/>
    </xf>
    <xf numFmtId="0" fontId="42" fillId="2" borderId="0" xfId="0" applyFont="1" applyFill="1" applyAlignment="1" applyProtection="1">
      <alignment vertical="top"/>
      <protection locked="0"/>
    </xf>
    <xf numFmtId="0" fontId="0" fillId="2" borderId="0" xfId="0" applyFill="1" applyAlignment="1" applyProtection="1">
      <alignment vertical="top" wrapText="1"/>
      <protection locked="0"/>
    </xf>
    <xf numFmtId="0" fontId="43" fillId="2" borderId="0" xfId="0" applyFont="1" applyFill="1" applyAlignment="1" applyProtection="1">
      <alignment vertical="top"/>
      <protection locked="0"/>
    </xf>
    <xf numFmtId="0" fontId="44" fillId="2" borderId="0" xfId="0" applyFont="1" applyFill="1" applyProtection="1">
      <protection locked="0"/>
    </xf>
    <xf numFmtId="0" fontId="43" fillId="2" borderId="0" xfId="0" applyFont="1" applyFill="1" applyAlignment="1" applyProtection="1">
      <alignment vertical="top" wrapText="1"/>
      <protection locked="0"/>
    </xf>
    <xf numFmtId="0" fontId="113" fillId="2" borderId="0" xfId="0" applyFont="1" applyFill="1" applyProtection="1">
      <protection locked="0"/>
    </xf>
    <xf numFmtId="0" fontId="45" fillId="2" borderId="0" xfId="0" applyFont="1" applyFill="1" applyAlignment="1" applyProtection="1">
      <alignment vertical="center" wrapText="1"/>
      <protection locked="0"/>
    </xf>
    <xf numFmtId="0" fontId="81" fillId="2" borderId="0" xfId="1" applyFont="1" applyFill="1" applyBorder="1" applyAlignment="1" applyProtection="1">
      <alignment horizontal="right" vertical="top" inden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vertical="center"/>
      <protection locked="0"/>
    </xf>
    <xf numFmtId="0" fontId="47" fillId="2" borderId="0" xfId="0" applyFont="1" applyFill="1" applyProtection="1">
      <protection locked="0"/>
    </xf>
    <xf numFmtId="0" fontId="17" fillId="2" borderId="0" xfId="0" applyFont="1" applyFill="1" applyAlignment="1" applyProtection="1">
      <alignment horizontal="left" vertical="center" indent="7"/>
      <protection locked="0"/>
    </xf>
    <xf numFmtId="0" fontId="17" fillId="17" borderId="0" xfId="0" applyFont="1" applyFill="1" applyAlignment="1" applyProtection="1">
      <alignment horizontal="left" vertical="center" indent="1"/>
      <protection locked="0"/>
    </xf>
    <xf numFmtId="0" fontId="0" fillId="17" borderId="0" xfId="0" applyFill="1" applyProtection="1">
      <protection locked="0"/>
    </xf>
    <xf numFmtId="0" fontId="17" fillId="17" borderId="0" xfId="0" applyFont="1" applyFill="1" applyAlignment="1" applyProtection="1">
      <alignment horizontal="left" vertical="center" indent="3"/>
      <protection locked="0"/>
    </xf>
    <xf numFmtId="0" fontId="57" fillId="2" borderId="0" xfId="0" applyFont="1" applyFill="1" applyProtection="1">
      <protection locked="0"/>
    </xf>
    <xf numFmtId="0" fontId="58" fillId="2" borderId="0" xfId="0" applyFont="1" applyFill="1" applyProtection="1">
      <protection locked="0"/>
    </xf>
    <xf numFmtId="0" fontId="123" fillId="13" borderId="0" xfId="0" applyFont="1" applyFill="1" applyAlignment="1" applyProtection="1">
      <alignment vertical="center"/>
      <protection locked="0"/>
    </xf>
    <xf numFmtId="0" fontId="59" fillId="4" borderId="0" xfId="0" applyFont="1" applyFill="1" applyAlignment="1">
      <alignment horizontal="left" vertical="top" wrapText="1"/>
    </xf>
    <xf numFmtId="0" fontId="58" fillId="4" borderId="0" xfId="0" applyFont="1" applyFill="1" applyAlignment="1">
      <alignment horizontal="left" vertical="top" wrapText="1"/>
    </xf>
    <xf numFmtId="0" fontId="45" fillId="2" borderId="0" xfId="0" applyFont="1" applyFill="1" applyBorder="1" applyAlignment="1">
      <alignment horizontal="left" vertical="center" wrapText="1"/>
    </xf>
    <xf numFmtId="0" fontId="75" fillId="2" borderId="0" xfId="0" applyFont="1" applyFill="1" applyAlignment="1">
      <alignment horizontal="left" vertical="top" wrapText="1"/>
    </xf>
    <xf numFmtId="0" fontId="75" fillId="2" borderId="0" xfId="0" applyFont="1" applyFill="1" applyBorder="1" applyAlignment="1">
      <alignment horizontal="left" vertical="top" wrapText="1"/>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xf>
    <xf numFmtId="0" fontId="58" fillId="2" borderId="0" xfId="0" applyFont="1" applyFill="1" applyAlignment="1" applyProtection="1">
      <alignment horizontal="left" vertical="top" wrapText="1"/>
      <protection locked="0"/>
    </xf>
    <xf numFmtId="0" fontId="59" fillId="2" borderId="0" xfId="0" applyFont="1" applyFill="1" applyAlignment="1" applyProtection="1">
      <alignment horizontal="left" vertical="top" wrapText="1"/>
      <protection locked="0"/>
    </xf>
    <xf numFmtId="0" fontId="41" fillId="2" borderId="0" xfId="0" applyFont="1" applyFill="1" applyAlignment="1" applyProtection="1">
      <alignment horizontal="left" vertical="center" wrapText="1" indent="11"/>
      <protection locked="0"/>
    </xf>
    <xf numFmtId="0" fontId="75" fillId="2" borderId="0" xfId="0" applyFont="1" applyFill="1" applyAlignment="1" applyProtection="1">
      <alignment horizontal="left" vertical="top" wrapText="1"/>
      <protection locked="0"/>
    </xf>
    <xf numFmtId="0" fontId="41" fillId="2" borderId="0" xfId="0" applyFont="1" applyFill="1" applyAlignment="1" applyProtection="1">
      <alignment horizontal="center" vertical="center" wrapText="1"/>
      <protection locked="0"/>
    </xf>
    <xf numFmtId="0" fontId="45" fillId="2" borderId="0" xfId="0" applyFont="1" applyFill="1" applyAlignment="1" applyProtection="1">
      <alignment horizontal="left" vertical="center" wrapText="1"/>
      <protection locked="0"/>
    </xf>
    <xf numFmtId="0" fontId="17" fillId="2" borderId="4"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43" fillId="2" borderId="0" xfId="1" applyFont="1" applyFill="1" applyAlignment="1" applyProtection="1">
      <alignment horizontal="center" vertical="top"/>
      <protection locked="0"/>
    </xf>
    <xf numFmtId="0" fontId="14" fillId="2" borderId="0" xfId="0" applyFont="1" applyFill="1" applyAlignment="1">
      <alignment horizontal="left" wrapText="1"/>
    </xf>
    <xf numFmtId="0" fontId="0" fillId="0" borderId="0" xfId="0" applyFont="1" applyAlignment="1">
      <alignment horizontal="left" vertical="top" wrapText="1"/>
    </xf>
    <xf numFmtId="0" fontId="31" fillId="0" borderId="0" xfId="0" applyFont="1" applyAlignment="1">
      <alignment horizontal="left" vertical="top" wrapText="1"/>
    </xf>
    <xf numFmtId="0" fontId="0" fillId="2" borderId="0" xfId="0" applyFont="1" applyFill="1" applyBorder="1" applyAlignment="1">
      <alignment horizontal="left" vertical="top" wrapText="1"/>
    </xf>
    <xf numFmtId="0" fontId="31" fillId="2" borderId="0" xfId="0" applyFont="1" applyFill="1" applyBorder="1" applyAlignment="1">
      <alignment horizontal="left" vertical="top" wrapText="1"/>
    </xf>
    <xf numFmtId="4" fontId="26" fillId="3" borderId="1" xfId="0" applyNumberFormat="1" applyFont="1" applyFill="1" applyBorder="1" applyAlignment="1" applyProtection="1">
      <alignment horizontal="center"/>
      <protection locked="0"/>
    </xf>
    <xf numFmtId="0" fontId="17" fillId="3" borderId="1" xfId="0" applyFont="1" applyFill="1" applyBorder="1" applyAlignment="1" applyProtection="1">
      <alignment horizontal="center"/>
      <protection locked="0"/>
    </xf>
    <xf numFmtId="0" fontId="2" fillId="2" borderId="0" xfId="0" applyFont="1" applyFill="1" applyAlignment="1">
      <alignment horizontal="left" wrapText="1"/>
    </xf>
    <xf numFmtId="0" fontId="58" fillId="2" borderId="0" xfId="0" applyFont="1" applyFill="1" applyAlignment="1">
      <alignment horizontal="left" vertical="top" wrapText="1" indent="1"/>
    </xf>
    <xf numFmtId="164" fontId="112" fillId="2" borderId="0" xfId="0" applyNumberFormat="1" applyFont="1" applyFill="1" applyBorder="1" applyAlignment="1">
      <alignment horizontal="left"/>
    </xf>
    <xf numFmtId="0" fontId="126" fillId="2" borderId="0" xfId="1" applyFont="1" applyFill="1" applyAlignment="1" applyProtection="1">
      <alignment horizontal="left"/>
      <protection locked="0"/>
    </xf>
    <xf numFmtId="4" fontId="26" fillId="4" borderId="1" xfId="0" applyNumberFormat="1" applyFont="1" applyFill="1" applyBorder="1" applyAlignment="1" applyProtection="1">
      <alignment horizontal="center"/>
      <protection locked="0"/>
    </xf>
    <xf numFmtId="0" fontId="0" fillId="2" borderId="0" xfId="0" applyFill="1" applyAlignment="1" applyProtection="1">
      <alignment horizontal="left" vertical="top" wrapText="1"/>
    </xf>
    <xf numFmtId="0" fontId="0" fillId="2" borderId="0" xfId="0" applyFill="1" applyAlignment="1">
      <alignment horizontal="left" vertical="top" wrapText="1"/>
    </xf>
    <xf numFmtId="0" fontId="0" fillId="2" borderId="0" xfId="0" applyFont="1" applyFill="1" applyAlignment="1" applyProtection="1">
      <alignment horizontal="left" vertical="top" wrapText="1"/>
    </xf>
    <xf numFmtId="165" fontId="0" fillId="2" borderId="4" xfId="0" applyNumberFormat="1" applyFill="1" applyBorder="1" applyAlignment="1" applyProtection="1">
      <alignment horizontal="center"/>
    </xf>
    <xf numFmtId="165" fontId="0" fillId="2" borderId="5" xfId="0" applyNumberFormat="1" applyFill="1" applyBorder="1" applyAlignment="1" applyProtection="1">
      <alignment horizontal="center"/>
    </xf>
    <xf numFmtId="2" fontId="12" fillId="16" borderId="4" xfId="0" applyNumberFormat="1" applyFont="1" applyFill="1" applyBorder="1" applyAlignment="1" applyProtection="1">
      <alignment horizontal="center"/>
    </xf>
    <xf numFmtId="2" fontId="12" fillId="16" borderId="5" xfId="0" applyNumberFormat="1" applyFont="1" applyFill="1" applyBorder="1" applyAlignment="1" applyProtection="1">
      <alignment horizontal="center"/>
    </xf>
    <xf numFmtId="2" fontId="0" fillId="2" borderId="9" xfId="0" applyNumberFormat="1" applyFill="1" applyBorder="1" applyAlignment="1" applyProtection="1">
      <alignment horizontal="left" vertical="top" wrapText="1"/>
    </xf>
    <xf numFmtId="2" fontId="0" fillId="2" borderId="7" xfId="0" applyNumberFormat="1" applyFill="1" applyBorder="1" applyAlignment="1" applyProtection="1">
      <alignment horizontal="left" vertical="top" wrapText="1"/>
    </xf>
    <xf numFmtId="2" fontId="0" fillId="2" borderId="10" xfId="0" applyNumberFormat="1" applyFill="1" applyBorder="1" applyAlignment="1" applyProtection="1">
      <alignment horizontal="left" vertical="top" wrapText="1"/>
    </xf>
    <xf numFmtId="2" fontId="0" fillId="2" borderId="11" xfId="0" applyNumberFormat="1" applyFill="1" applyBorder="1" applyAlignment="1" applyProtection="1">
      <alignment horizontal="left" vertical="top" wrapText="1"/>
    </xf>
    <xf numFmtId="2" fontId="0" fillId="2" borderId="12" xfId="0" applyNumberFormat="1" applyFill="1" applyBorder="1" applyAlignment="1" applyProtection="1">
      <alignment horizontal="left" vertical="top" wrapText="1"/>
    </xf>
    <xf numFmtId="2" fontId="0" fillId="2" borderId="13" xfId="0" applyNumberFormat="1" applyFill="1" applyBorder="1" applyAlignment="1" applyProtection="1">
      <alignment horizontal="left" vertical="top" wrapText="1"/>
    </xf>
    <xf numFmtId="0" fontId="17"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top" wrapText="1" indent="1"/>
    </xf>
    <xf numFmtId="0" fontId="148" fillId="2" borderId="0" xfId="0" applyFont="1" applyFill="1" applyBorder="1" applyAlignment="1" applyProtection="1">
      <alignment horizontal="right"/>
    </xf>
    <xf numFmtId="0" fontId="14" fillId="2" borderId="0" xfId="0" applyFont="1" applyFill="1" applyBorder="1" applyAlignment="1" applyProtection="1">
      <alignment horizontal="left" vertical="top" wrapText="1"/>
    </xf>
    <xf numFmtId="0" fontId="65" fillId="2" borderId="0" xfId="0" applyFont="1" applyFill="1" applyBorder="1" applyAlignment="1" applyProtection="1">
      <alignment horizontal="left" vertical="top" wrapText="1"/>
    </xf>
    <xf numFmtId="0" fontId="165" fillId="2" borderId="0" xfId="0" applyFont="1" applyFill="1" applyAlignment="1" applyProtection="1">
      <alignment horizontal="center"/>
    </xf>
    <xf numFmtId="0" fontId="163" fillId="2" borderId="0" xfId="0" applyFont="1" applyFill="1" applyBorder="1" applyAlignment="1" applyProtection="1">
      <alignment horizontal="left" wrapText="1"/>
    </xf>
    <xf numFmtId="0" fontId="164" fillId="2" borderId="0" xfId="0" applyFont="1" applyFill="1" applyBorder="1" applyAlignment="1" applyProtection="1">
      <alignment horizontal="left" wrapText="1"/>
    </xf>
    <xf numFmtId="0" fontId="118" fillId="2" borderId="0" xfId="0" applyFont="1" applyFill="1" applyBorder="1" applyAlignment="1" applyProtection="1">
      <alignment horizontal="left" vertical="top" wrapText="1"/>
    </xf>
    <xf numFmtId="0" fontId="14" fillId="2" borderId="0" xfId="0" applyFont="1" applyFill="1" applyAlignment="1" applyProtection="1">
      <alignment horizontal="left" vertical="top" wrapText="1"/>
    </xf>
    <xf numFmtId="0" fontId="41" fillId="2" borderId="0" xfId="0" applyFont="1" applyFill="1" applyAlignment="1" applyProtection="1">
      <alignment horizontal="center" vertical="center" wrapText="1"/>
    </xf>
    <xf numFmtId="0" fontId="174" fillId="3" borderId="4" xfId="0" applyFont="1" applyFill="1" applyBorder="1" applyAlignment="1" applyProtection="1">
      <alignment horizontal="center" vertical="center"/>
      <protection locked="0"/>
    </xf>
    <xf numFmtId="0" fontId="174" fillId="3" borderId="5" xfId="0" applyFont="1" applyFill="1" applyBorder="1" applyAlignment="1" applyProtection="1">
      <alignment horizontal="center" vertical="center"/>
      <protection locked="0"/>
    </xf>
    <xf numFmtId="0" fontId="14" fillId="4" borderId="0" xfId="0" applyFont="1" applyFill="1" applyAlignment="1">
      <alignment horizontal="left" vertical="top" wrapText="1"/>
    </xf>
    <xf numFmtId="0" fontId="1" fillId="2" borderId="9"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23" fillId="13" borderId="0" xfId="1" applyFont="1" applyFill="1" applyAlignment="1" applyProtection="1">
      <alignment horizontal="left" vertical="center"/>
      <protection locked="0"/>
    </xf>
    <xf numFmtId="0" fontId="28" fillId="3" borderId="4" xfId="0" applyFont="1" applyFill="1" applyBorder="1" applyAlignment="1" applyProtection="1">
      <alignment horizontal="center"/>
      <protection locked="0"/>
    </xf>
    <xf numFmtId="0" fontId="28" fillId="3" borderId="5" xfId="0" applyFont="1" applyFill="1" applyBorder="1" applyAlignment="1" applyProtection="1">
      <alignment horizontal="center"/>
      <protection locked="0"/>
    </xf>
    <xf numFmtId="0" fontId="1" fillId="4" borderId="9" xfId="0" applyFont="1" applyFill="1" applyBorder="1" applyAlignment="1" applyProtection="1">
      <alignment horizontal="left" vertical="center" wrapText="1" indent="1"/>
    </xf>
    <xf numFmtId="0" fontId="1" fillId="4" borderId="7" xfId="0" applyFont="1" applyFill="1" applyBorder="1" applyAlignment="1" applyProtection="1">
      <alignment horizontal="left" vertical="center" wrapText="1" indent="1"/>
    </xf>
    <xf numFmtId="0" fontId="1" fillId="4" borderId="10" xfId="0" applyFont="1" applyFill="1" applyBorder="1" applyAlignment="1" applyProtection="1">
      <alignment horizontal="left" vertical="center" wrapText="1" indent="1"/>
    </xf>
    <xf numFmtId="0" fontId="1" fillId="4" borderId="2" xfId="0" applyFont="1" applyFill="1" applyBorder="1" applyAlignment="1" applyProtection="1">
      <alignment horizontal="left" vertical="center" wrapText="1" indent="1"/>
    </xf>
    <xf numFmtId="0" fontId="1" fillId="4" borderId="0" xfId="0" applyFont="1" applyFill="1" applyBorder="1" applyAlignment="1" applyProtection="1">
      <alignment horizontal="left" vertical="center" wrapText="1" indent="1"/>
    </xf>
    <xf numFmtId="0" fontId="1" fillId="4" borderId="3" xfId="0" applyFont="1" applyFill="1" applyBorder="1" applyAlignment="1" applyProtection="1">
      <alignment horizontal="left" vertical="center" wrapText="1" indent="1"/>
    </xf>
    <xf numFmtId="0" fontId="17" fillId="4" borderId="2" xfId="0" applyFont="1" applyFill="1" applyBorder="1" applyAlignment="1" applyProtection="1">
      <alignment horizontal="left" vertical="top" wrapText="1" indent="1"/>
    </xf>
    <xf numFmtId="0" fontId="17" fillId="4" borderId="0" xfId="0" applyFont="1" applyFill="1" applyBorder="1" applyAlignment="1" applyProtection="1">
      <alignment horizontal="left" vertical="top" wrapText="1" indent="1"/>
    </xf>
    <xf numFmtId="0" fontId="17" fillId="4" borderId="3" xfId="0" applyFont="1" applyFill="1" applyBorder="1" applyAlignment="1" applyProtection="1">
      <alignment horizontal="left" vertical="top" wrapText="1" indent="1"/>
    </xf>
    <xf numFmtId="0" fontId="167" fillId="2" borderId="0" xfId="0" applyFont="1" applyFill="1" applyAlignment="1" applyProtection="1">
      <alignment horizontal="left" wrapText="1"/>
    </xf>
    <xf numFmtId="0" fontId="1" fillId="3" borderId="4" xfId="0" applyFont="1" applyFill="1" applyBorder="1" applyAlignment="1" applyProtection="1">
      <alignment horizontal="center"/>
    </xf>
    <xf numFmtId="0" fontId="1" fillId="3" borderId="5" xfId="0" applyFont="1" applyFill="1" applyBorder="1" applyAlignment="1" applyProtection="1">
      <alignment horizontal="center"/>
    </xf>
    <xf numFmtId="0" fontId="17" fillId="11" borderId="0" xfId="0" applyFont="1" applyFill="1" applyAlignment="1">
      <alignment horizontal="left" vertical="top" wrapText="1" indent="2"/>
    </xf>
    <xf numFmtId="0" fontId="17" fillId="4" borderId="0" xfId="0" applyFont="1" applyFill="1" applyAlignment="1">
      <alignment horizontal="left" vertical="top" wrapText="1"/>
    </xf>
    <xf numFmtId="0" fontId="66" fillId="4" borderId="0" xfId="0" applyFont="1" applyFill="1" applyAlignment="1">
      <alignment horizontal="left" vertical="top" wrapText="1"/>
    </xf>
    <xf numFmtId="0" fontId="65" fillId="4" borderId="0" xfId="0" applyFont="1" applyFill="1" applyAlignment="1">
      <alignment horizontal="left" vertical="center" wrapText="1"/>
    </xf>
    <xf numFmtId="0" fontId="66" fillId="10" borderId="3" xfId="0" applyFont="1" applyFill="1" applyBorder="1" applyAlignment="1">
      <alignment horizontal="left" vertical="top" wrapText="1"/>
    </xf>
    <xf numFmtId="0" fontId="65" fillId="10" borderId="3" xfId="0" applyFont="1" applyFill="1" applyBorder="1" applyAlignment="1">
      <alignment horizontal="left" vertical="top" wrapText="1"/>
    </xf>
    <xf numFmtId="0" fontId="65" fillId="10" borderId="13" xfId="0" applyFont="1" applyFill="1" applyBorder="1" applyAlignment="1">
      <alignment horizontal="left" vertical="top" wrapText="1"/>
    </xf>
    <xf numFmtId="0" fontId="65" fillId="10" borderId="8" xfId="0" applyFont="1" applyFill="1" applyBorder="1" applyAlignment="1">
      <alignment horizontal="left" vertical="top" wrapText="1" indent="1"/>
    </xf>
    <xf numFmtId="0" fontId="65" fillId="10" borderId="19" xfId="0" applyFont="1" applyFill="1" applyBorder="1" applyAlignment="1">
      <alignment horizontal="left" vertical="top" wrapText="1" indent="1"/>
    </xf>
    <xf numFmtId="0" fontId="65" fillId="10" borderId="2" xfId="0" applyFont="1" applyFill="1" applyBorder="1" applyAlignment="1">
      <alignment horizontal="left" vertical="top" wrapText="1" indent="1"/>
    </xf>
    <xf numFmtId="0" fontId="65" fillId="10" borderId="11" xfId="0" applyFont="1" applyFill="1" applyBorder="1" applyAlignment="1">
      <alignment horizontal="left" vertical="top" wrapText="1" indent="1"/>
    </xf>
    <xf numFmtId="0" fontId="65" fillId="4" borderId="3" xfId="0" applyFont="1" applyFill="1" applyBorder="1" applyAlignment="1">
      <alignment horizontal="left" vertical="top" wrapText="1"/>
    </xf>
    <xf numFmtId="0" fontId="65" fillId="4" borderId="13" xfId="0" applyFont="1" applyFill="1" applyBorder="1" applyAlignment="1">
      <alignment horizontal="left" vertical="top" wrapText="1"/>
    </xf>
    <xf numFmtId="0" fontId="65" fillId="4" borderId="8" xfId="0" applyFont="1" applyFill="1" applyBorder="1" applyAlignment="1">
      <alignment horizontal="left" vertical="top" wrapText="1" indent="1"/>
    </xf>
    <xf numFmtId="0" fontId="65" fillId="4" borderId="19" xfId="0" applyFont="1" applyFill="1" applyBorder="1" applyAlignment="1">
      <alignment horizontal="left" vertical="top" wrapText="1" indent="1"/>
    </xf>
    <xf numFmtId="0" fontId="65" fillId="4" borderId="2" xfId="0" applyFont="1" applyFill="1" applyBorder="1" applyAlignment="1">
      <alignment horizontal="left" vertical="top" wrapText="1" indent="1"/>
    </xf>
    <xf numFmtId="0" fontId="65" fillId="4" borderId="11" xfId="0" applyFont="1" applyFill="1" applyBorder="1" applyAlignment="1">
      <alignment horizontal="left" vertical="top" wrapText="1" indent="1"/>
    </xf>
    <xf numFmtId="0" fontId="65" fillId="11" borderId="3" xfId="0" applyFont="1" applyFill="1" applyBorder="1" applyAlignment="1">
      <alignment horizontal="left" vertical="top" wrapText="1"/>
    </xf>
    <xf numFmtId="0" fontId="65" fillId="11" borderId="13" xfId="0" applyFont="1" applyFill="1" applyBorder="1" applyAlignment="1">
      <alignment horizontal="left" vertical="top" wrapText="1"/>
    </xf>
    <xf numFmtId="0" fontId="66" fillId="11" borderId="8" xfId="0" applyFont="1" applyFill="1" applyBorder="1" applyAlignment="1">
      <alignment horizontal="left" vertical="top" wrapText="1" indent="1"/>
    </xf>
    <xf numFmtId="0" fontId="66" fillId="11" borderId="19" xfId="0" applyFont="1" applyFill="1" applyBorder="1" applyAlignment="1">
      <alignment horizontal="left" vertical="top" wrapText="1" indent="1"/>
    </xf>
    <xf numFmtId="0" fontId="66" fillId="11" borderId="2" xfId="0" applyFont="1" applyFill="1" applyBorder="1" applyAlignment="1">
      <alignment horizontal="left" vertical="top" wrapText="1" indent="1"/>
    </xf>
    <xf numFmtId="0" fontId="66" fillId="11" borderId="11" xfId="0" applyFont="1" applyFill="1" applyBorder="1" applyAlignment="1">
      <alignment horizontal="left" vertical="top" wrapText="1" indent="1"/>
    </xf>
    <xf numFmtId="0" fontId="65" fillId="2" borderId="0" xfId="0" applyFont="1" applyFill="1" applyAlignment="1">
      <alignment horizontal="left" vertical="top" wrapText="1"/>
    </xf>
    <xf numFmtId="1" fontId="112" fillId="2" borderId="0" xfId="0" applyNumberFormat="1" applyFont="1" applyFill="1" applyAlignment="1">
      <alignment horizontal="left" vertical="top" wrapText="1"/>
    </xf>
    <xf numFmtId="0" fontId="65" fillId="2" borderId="0" xfId="0" applyFont="1" applyFill="1" applyBorder="1" applyAlignment="1">
      <alignment horizontal="left" vertical="top" wrapText="1"/>
    </xf>
    <xf numFmtId="0" fontId="17" fillId="2" borderId="0" xfId="0" applyFont="1" applyFill="1" applyAlignment="1">
      <alignment horizontal="left" vertical="top" wrapText="1"/>
    </xf>
    <xf numFmtId="0" fontId="53" fillId="2" borderId="0" xfId="0" applyFont="1" applyFill="1" applyAlignment="1">
      <alignment horizontal="left" vertical="top" wrapText="1"/>
    </xf>
    <xf numFmtId="0" fontId="94" fillId="2" borderId="0" xfId="1" applyFont="1" applyFill="1" applyAlignment="1">
      <alignment horizontal="left" vertical="top"/>
    </xf>
    <xf numFmtId="0" fontId="62" fillId="10" borderId="0" xfId="0" applyFont="1" applyFill="1" applyAlignment="1">
      <alignment horizontal="left" wrapText="1"/>
    </xf>
    <xf numFmtId="0" fontId="65" fillId="10" borderId="0" xfId="0" applyFont="1" applyFill="1" applyBorder="1" applyAlignment="1">
      <alignment horizontal="left" vertical="top" wrapText="1"/>
    </xf>
    <xf numFmtId="0" fontId="105" fillId="10" borderId="0" xfId="0" applyFont="1" applyFill="1" applyAlignment="1">
      <alignment horizontal="left" vertical="top" wrapText="1"/>
    </xf>
    <xf numFmtId="0" fontId="108" fillId="10" borderId="0" xfId="0" applyFont="1" applyFill="1" applyAlignment="1">
      <alignment horizontal="left" vertical="top" wrapText="1"/>
    </xf>
    <xf numFmtId="0" fontId="17" fillId="10" borderId="0" xfId="0" applyFont="1" applyFill="1" applyAlignment="1">
      <alignment horizontal="left" vertical="top" wrapText="1"/>
    </xf>
    <xf numFmtId="0" fontId="166" fillId="2" borderId="0" xfId="0" applyFont="1" applyFill="1" applyAlignment="1">
      <alignment horizontal="left" vertical="top" wrapText="1"/>
    </xf>
    <xf numFmtId="9" fontId="17" fillId="3" borderId="1" xfId="0" applyNumberFormat="1" applyFont="1" applyFill="1" applyBorder="1" applyAlignment="1" applyProtection="1">
      <alignment horizontal="center"/>
    </xf>
    <xf numFmtId="0" fontId="17" fillId="3" borderId="1" xfId="0" applyFont="1" applyFill="1" applyBorder="1" applyAlignment="1" applyProtection="1">
      <alignment horizontal="center"/>
    </xf>
  </cellXfs>
  <cellStyles count="2">
    <cellStyle name="Hyperlink" xfId="1" builtinId="8"/>
    <cellStyle name="Standaard" xfId="0" builtinId="0"/>
  </cellStyles>
  <dxfs count="61">
    <dxf>
      <font>
        <b/>
        <i val="0"/>
        <u val="double"/>
      </font>
    </dxf>
    <dxf>
      <font>
        <b/>
        <i val="0"/>
        <u val="double"/>
      </font>
    </dxf>
    <dxf>
      <font>
        <b/>
        <i val="0"/>
        <u val="double"/>
      </font>
    </dxf>
    <dxf>
      <font>
        <b val="0"/>
        <i/>
        <u val="none"/>
      </font>
    </dxf>
    <dxf>
      <font>
        <b/>
        <i val="0"/>
        <u val="double"/>
      </font>
    </dxf>
    <dxf>
      <font>
        <b/>
        <i val="0"/>
        <u val="double"/>
      </font>
    </dxf>
    <dxf>
      <font>
        <b/>
        <i val="0"/>
        <u val="double"/>
      </font>
    </dxf>
    <dxf>
      <font>
        <b/>
        <i val="0"/>
        <u val="double"/>
      </font>
    </dxf>
    <dxf>
      <font>
        <b/>
        <i val="0"/>
        <u val="double"/>
      </font>
    </dxf>
    <dxf>
      <fill>
        <patternFill>
          <bgColor theme="7" tint="0.79998168889431442"/>
        </patternFill>
      </fill>
    </dxf>
    <dxf>
      <font>
        <color theme="0" tint="-0.24994659260841701"/>
      </font>
    </dxf>
    <dxf>
      <font>
        <color theme="0" tint="-0.24994659260841701"/>
      </font>
    </dxf>
    <dxf>
      <font>
        <color theme="0" tint="-0.24994659260841701"/>
      </font>
    </dxf>
    <dxf>
      <font>
        <color theme="0" tint="-0.24994659260841701"/>
      </font>
    </dxf>
    <dxf>
      <font>
        <color rgb="FFFF0000"/>
      </font>
    </dxf>
    <dxf>
      <font>
        <color rgb="FFFF0000"/>
      </font>
    </dxf>
    <dxf>
      <font>
        <color rgb="FFFF0000"/>
      </font>
    </dxf>
    <dxf>
      <font>
        <color rgb="FFFF0000"/>
      </font>
    </dxf>
    <dxf>
      <font>
        <color theme="0" tint="-0.24994659260841701"/>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color rgb="FFFF0000"/>
      </font>
    </dxf>
    <dxf>
      <font>
        <b/>
        <i val="0"/>
        <u/>
        <color rgb="FFFF0000"/>
      </font>
    </dxf>
    <dxf>
      <font>
        <b/>
        <i val="0"/>
        <u/>
        <color rgb="FFFF0000"/>
      </font>
    </dxf>
    <dxf>
      <font>
        <b/>
        <i val="0"/>
        <u/>
        <color rgb="FFFF0000"/>
      </font>
    </dxf>
    <dxf>
      <font>
        <b/>
        <i val="0"/>
        <u/>
        <color rgb="FFFF0000"/>
      </font>
    </dxf>
    <dxf>
      <font>
        <b/>
        <i val="0"/>
        <u/>
        <color rgb="FFFF0000"/>
      </font>
    </dxf>
    <dxf>
      <font>
        <color rgb="FFFF0000"/>
      </font>
    </dxf>
    <dxf>
      <font>
        <color rgb="FFFF0000"/>
      </font>
    </dxf>
    <dxf>
      <font>
        <color rgb="FFFF0000"/>
      </font>
    </dxf>
    <dxf>
      <font>
        <color rgb="FFFF0000"/>
      </font>
    </dxf>
    <dxf>
      <font>
        <color theme="0" tint="-0.24994659260841701"/>
      </font>
    </dxf>
    <dxf>
      <font>
        <color theme="4" tint="0.79998168889431442"/>
      </font>
      <fill>
        <patternFill>
          <bgColor theme="4" tint="0.79998168889431442"/>
        </patternFill>
      </fill>
    </dxf>
    <dxf>
      <font>
        <b/>
        <i val="0"/>
        <color theme="8"/>
      </font>
    </dxf>
    <dxf>
      <font>
        <b/>
        <i val="0"/>
        <color theme="8"/>
      </font>
    </dxf>
    <dxf>
      <font>
        <b/>
        <i val="0"/>
        <color theme="8"/>
      </font>
    </dxf>
    <dxf>
      <font>
        <b/>
        <i val="0"/>
        <color theme="8"/>
      </font>
    </dxf>
    <dxf>
      <font>
        <b/>
        <i val="0"/>
        <color theme="8"/>
      </font>
    </dxf>
    <dxf>
      <font>
        <b/>
        <i val="0"/>
        <color theme="8"/>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border>
    </dxf>
    <dxf>
      <font>
        <color rgb="FFFF0000"/>
      </font>
    </dxf>
    <dxf>
      <font>
        <color rgb="FFFF0000"/>
      </font>
    </dxf>
  </dxfs>
  <tableStyles count="0" defaultTableStyle="TableStyleMedium2" defaultPivotStyle="PivotStyleLight16"/>
  <colors>
    <mruColors>
      <color rgb="FFEBF7FF"/>
      <color rgb="FF0062C4"/>
      <color rgb="FFFFFFCC"/>
      <color rgb="FFDDEBF7"/>
      <color rgb="FFF26800"/>
      <color rgb="FFEB6307"/>
      <color rgb="FFF9FDFF"/>
      <color rgb="FFF7F7F7"/>
      <color rgb="FFE5F4FF"/>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F$4" lockText="1" noThreeD="1"/>
</file>

<file path=xl/ctrlProps/ctrlProp2.xml><?xml version="1.0" encoding="utf-8"?>
<formControlPr xmlns="http://schemas.microsoft.com/office/spreadsheetml/2009/9/main" objectType="CheckBox" fmlaLink="$F$5" lockText="1" noThreeD="1"/>
</file>

<file path=xl/ctrlProps/ctrlProp3.xml><?xml version="1.0" encoding="utf-8"?>
<formControlPr xmlns="http://schemas.microsoft.com/office/spreadsheetml/2009/9/main" objectType="Drop" dropLines="12" dropStyle="combo" dx="48" fmlaLink="$F$41" fmlaRange="$H$38:$H$45" noThreeD="1" sel="1" val="0"/>
</file>

<file path=xl/ctrlProps/ctrlProp4.xml><?xml version="1.0" encoding="utf-8"?>
<formControlPr xmlns="http://schemas.microsoft.com/office/spreadsheetml/2009/9/main" objectType="Drop" dropLines="11" dropStyle="combo" dx="48" fmlaLink="$F$42" fmlaRange="$J$38:$J$45" noThreeD="1" sel="8" val="0"/>
</file>

<file path=xl/drawings/_rels/drawing1.xml.rels><?xml version="1.0" encoding="UTF-8" standalone="yes"?>
<Relationships xmlns="http://schemas.openxmlformats.org/package/2006/relationships"><Relationship Id="rId8" Type="http://schemas.openxmlformats.org/officeDocument/2006/relationships/hyperlink" Target="https://www.an-i.nl/" TargetMode="External"/><Relationship Id="rId13" Type="http://schemas.openxmlformats.org/officeDocument/2006/relationships/hyperlink" Target="https://www.an-i.nl/spreekuur-raadplegen-specialist/" TargetMode="External"/><Relationship Id="rId3" Type="http://schemas.openxmlformats.org/officeDocument/2006/relationships/image" Target="../media/image2.jpe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1.jpg"/><Relationship Id="rId1" Type="http://schemas.openxmlformats.org/officeDocument/2006/relationships/hyperlink" Target="#O!A1"/><Relationship Id="rId6" Type="http://schemas.openxmlformats.org/officeDocument/2006/relationships/image" Target="../media/image4.jpeg"/><Relationship Id="rId11" Type="http://schemas.openxmlformats.org/officeDocument/2006/relationships/hyperlink" Target="https://www.an-i.nl/toolboxen/" TargetMode="External"/><Relationship Id="rId5" Type="http://schemas.openxmlformats.org/officeDocument/2006/relationships/hyperlink" Target="#'UWV-ontslag'!A1"/><Relationship Id="rId15" Type="http://schemas.openxmlformats.org/officeDocument/2006/relationships/image" Target="../media/image9.png"/><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media/image6.png"/><Relationship Id="rId14" Type="http://schemas.openxmlformats.org/officeDocument/2006/relationships/hyperlink" Target="https://www.an-i.nl/opleiding-arbeidsrech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hyperlink" Target="#'UWV-ontslag'!A1"/><Relationship Id="rId4" Type="http://schemas.openxmlformats.org/officeDocument/2006/relationships/image" Target="../media/image10.jpg"/></Relationships>
</file>

<file path=xl/drawings/_rels/drawing3.xml.rels><?xml version="1.0" encoding="UTF-8" standalone="yes"?>
<Relationships xmlns="http://schemas.openxmlformats.org/package/2006/relationships"><Relationship Id="rId8" Type="http://schemas.openxmlformats.org/officeDocument/2006/relationships/hyperlink" Target="https://www.arbeidsrechter.nl/onderhandelen-over-de-ontslagvergoeding-in-de-vaststellingsovereenkomst#6" TargetMode="External"/><Relationship Id="rId13" Type="http://schemas.openxmlformats.org/officeDocument/2006/relationships/image" Target="../media/image15.jpg"/><Relationship Id="rId3" Type="http://schemas.openxmlformats.org/officeDocument/2006/relationships/hyperlink" Target="https://www.arbeidsrechter.nl/onderhandelen-over-de-ontslagvergoeding-in-de-vaststellingsovereenkomst#0" TargetMode="External"/><Relationship Id="rId7" Type="http://schemas.openxmlformats.org/officeDocument/2006/relationships/hyperlink" Target="https://www.arbeidsrechter.nl/onderhandelen-over-de-ontslagvergoeding-in-de-vaststellingsovereenkomst#3" TargetMode="External"/><Relationship Id="rId12" Type="http://schemas.openxmlformats.org/officeDocument/2006/relationships/image" Target="../media/image14.png"/><Relationship Id="rId2" Type="http://schemas.openxmlformats.org/officeDocument/2006/relationships/image" Target="../media/image11.png"/><Relationship Id="rId1" Type="http://schemas.openxmlformats.org/officeDocument/2006/relationships/hyperlink" Target="https://www.arbeidsrechter.nl/onderhandelen-over-de-ontslagvergoeding-in-de-vaststellingsovereenkomst#2" TargetMode="External"/><Relationship Id="rId6" Type="http://schemas.openxmlformats.org/officeDocument/2006/relationships/hyperlink" Target="https://www.arbeidsrechter.nl/onderhandelen-over-de-ontslagvergoeding-in-de-vaststellingsovereenkomst#V5" TargetMode="External"/><Relationship Id="rId11" Type="http://schemas.openxmlformats.org/officeDocument/2006/relationships/hyperlink" Target="#Start!A1"/><Relationship Id="rId5" Type="http://schemas.openxmlformats.org/officeDocument/2006/relationships/hyperlink" Target="https://www.arbeidsrechter.nl/onderhandelen-over-de-ontslagvergoeding-in-de-vaststellingsovereenkomst#5" TargetMode="External"/><Relationship Id="rId15" Type="http://schemas.openxmlformats.org/officeDocument/2006/relationships/hyperlink" Target="https://www.an-i.nl/opleiding-arbeidsrecht/" TargetMode="External"/><Relationship Id="rId10" Type="http://schemas.openxmlformats.org/officeDocument/2006/relationships/image" Target="../media/image13.jpeg"/><Relationship Id="rId4" Type="http://schemas.openxmlformats.org/officeDocument/2006/relationships/image" Target="../media/image12.png"/><Relationship Id="rId9" Type="http://schemas.openxmlformats.org/officeDocument/2006/relationships/hyperlink" Target="https://www.arbeidsrechter.nl/onderhandelen-over-de-ontslagvergoeding-in-de-vaststellingsovereenkomst#4" TargetMode="External"/><Relationship Id="rId14" Type="http://schemas.openxmlformats.org/officeDocument/2006/relationships/hyperlink" Target="https://www.an-i.nl/spreekuur-raadplegen-specialist/"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an-i.nl/spreekuur-raadplegen-specialist/" TargetMode="External"/><Relationship Id="rId3" Type="http://schemas.openxmlformats.org/officeDocument/2006/relationships/image" Target="../media/image14.png"/><Relationship Id="rId7" Type="http://schemas.openxmlformats.org/officeDocument/2006/relationships/image" Target="../media/image17.png"/><Relationship Id="rId2" Type="http://schemas.openxmlformats.org/officeDocument/2006/relationships/hyperlink" Target="#Start!A1"/><Relationship Id="rId1" Type="http://schemas.openxmlformats.org/officeDocument/2006/relationships/image" Target="../media/image13.jpeg"/><Relationship Id="rId6" Type="http://schemas.openxmlformats.org/officeDocument/2006/relationships/hyperlink" Target="#Ontslagregeling!A1"/><Relationship Id="rId11" Type="http://schemas.openxmlformats.org/officeDocument/2006/relationships/image" Target="../media/image18.png"/><Relationship Id="rId5" Type="http://schemas.openxmlformats.org/officeDocument/2006/relationships/image" Target="../media/image16.jpeg"/><Relationship Id="rId10" Type="http://schemas.openxmlformats.org/officeDocument/2006/relationships/hyperlink" Target="https://www.an-i.nl/opleiding-arbeidsrecht/" TargetMode="External"/><Relationship Id="rId4" Type="http://schemas.openxmlformats.org/officeDocument/2006/relationships/image" Target="../media/image5.png"/><Relationship Id="rId9" Type="http://schemas.openxmlformats.org/officeDocument/2006/relationships/image" Target="../media/image15.jpg"/></Relationships>
</file>

<file path=xl/drawings/_rels/drawing6.xml.rels><?xml version="1.0" encoding="UTF-8" standalone="yes"?>
<Relationships xmlns="http://schemas.openxmlformats.org/package/2006/relationships"><Relationship Id="rId8" Type="http://schemas.openxmlformats.org/officeDocument/2006/relationships/hyperlink" Target="https://www.an-i.nl/spreekuur-raadplegen-specialist/" TargetMode="External"/><Relationship Id="rId3" Type="http://schemas.openxmlformats.org/officeDocument/2006/relationships/hyperlink" Target="#'UWV-ontslag'!A1"/><Relationship Id="rId7" Type="http://schemas.openxmlformats.org/officeDocument/2006/relationships/image" Target="../media/image15.jpg"/><Relationship Id="rId12" Type="http://schemas.openxmlformats.org/officeDocument/2006/relationships/image" Target="../media/image20.jpeg"/><Relationship Id="rId2" Type="http://schemas.openxmlformats.org/officeDocument/2006/relationships/hyperlink" Target="#Stappenplan!A1"/><Relationship Id="rId1" Type="http://schemas.openxmlformats.org/officeDocument/2006/relationships/hyperlink" Target="https://www.an-i.nl/toolbox-uwv-ontslag/" TargetMode="External"/><Relationship Id="rId6" Type="http://schemas.openxmlformats.org/officeDocument/2006/relationships/image" Target="../media/image14.png"/><Relationship Id="rId11" Type="http://schemas.openxmlformats.org/officeDocument/2006/relationships/image" Target="../media/image7.png"/><Relationship Id="rId5" Type="http://schemas.openxmlformats.org/officeDocument/2006/relationships/hyperlink" Target="#Start!A1"/><Relationship Id="rId10"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hyperlink" Target="https://www.an-i.nl/opleiding-arbeidsrecht/"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6. UWV-2'!A1"/><Relationship Id="rId3" Type="http://schemas.openxmlformats.org/officeDocument/2006/relationships/hyperlink" Target="#'2. Ontslagpagina'!A1"/><Relationship Id="rId7" Type="http://schemas.openxmlformats.org/officeDocument/2006/relationships/image" Target="../media/image14.png"/><Relationship Id="rId12" Type="http://schemas.openxmlformats.org/officeDocument/2006/relationships/hyperlink" Target="#'6. UWV-1'!A1"/><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11" Type="http://schemas.openxmlformats.org/officeDocument/2006/relationships/hyperlink" Target="#'4. Bijlage'!A1"/><Relationship Id="rId5" Type="http://schemas.openxmlformats.org/officeDocument/2006/relationships/image" Target="../media/image4.jpeg"/><Relationship Id="rId15" Type="http://schemas.openxmlformats.org/officeDocument/2006/relationships/hyperlink" Target="#'5. WN'!A1"/><Relationship Id="rId10" Type="http://schemas.openxmlformats.org/officeDocument/2006/relationships/hyperlink" Target="#'4. Formulieren'!A1"/><Relationship Id="rId4" Type="http://schemas.openxmlformats.org/officeDocument/2006/relationships/hyperlink" Target="#'UWV-ontslag'!A1"/><Relationship Id="rId9" Type="http://schemas.openxmlformats.org/officeDocument/2006/relationships/hyperlink" Target="https://www.an-i.nl/toolbox-uwv-ontslag/" TargetMode="External"/><Relationship Id="rId14" Type="http://schemas.openxmlformats.org/officeDocument/2006/relationships/hyperlink" Target="#'5. VSO'!A1"/></Relationships>
</file>

<file path=xl/drawings/_rels/drawing9.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1. Invoer'!A1"/><Relationship Id="rId7" Type="http://schemas.openxmlformats.org/officeDocument/2006/relationships/hyperlink" Target="#Start!A1"/><Relationship Id="rId2" Type="http://schemas.openxmlformats.org/officeDocument/2006/relationships/hyperlink" Target="#Stappenplan!A1"/><Relationship Id="rId1" Type="http://schemas.openxmlformats.org/officeDocument/2006/relationships/image" Target="../media/image21.png"/><Relationship Id="rId6" Type="http://schemas.openxmlformats.org/officeDocument/2006/relationships/image" Target="../media/image4.jpeg"/><Relationship Id="rId5" Type="http://schemas.openxmlformats.org/officeDocument/2006/relationships/hyperlink" Target="#'UWV-ontslag'!A1"/><Relationship Id="rId4" Type="http://schemas.openxmlformats.org/officeDocument/2006/relationships/hyperlink" Target="#'2. Ontslagpagina'!A1"/><Relationship Id="rId9" Type="http://schemas.openxmlformats.org/officeDocument/2006/relationships/hyperlink" Target="https://www.an-i.nl/toolbox-uwv-ontslag/"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1. Invoer'!A1"/><Relationship Id="rId3" Type="http://schemas.openxmlformats.org/officeDocument/2006/relationships/hyperlink" Target="#'4. Formulieren'!A1"/><Relationship Id="rId7" Type="http://schemas.openxmlformats.org/officeDocument/2006/relationships/hyperlink" Target="#Stappenplan!A1"/><Relationship Id="rId12" Type="http://schemas.openxmlformats.org/officeDocument/2006/relationships/image" Target="../media/image14.png"/><Relationship Id="rId2" Type="http://schemas.openxmlformats.org/officeDocument/2006/relationships/hyperlink" Target="#'2. Ontslagpagina'!A1"/><Relationship Id="rId1" Type="http://schemas.openxmlformats.org/officeDocument/2006/relationships/hyperlink" Target="#'2. Print'!A1"/><Relationship Id="rId6" Type="http://schemas.openxmlformats.org/officeDocument/2006/relationships/image" Target="../media/image22.png"/><Relationship Id="rId11" Type="http://schemas.openxmlformats.org/officeDocument/2006/relationships/hyperlink" Target="#Start!A1"/><Relationship Id="rId5" Type="http://schemas.openxmlformats.org/officeDocument/2006/relationships/hyperlink" Target="#'3. Motivatie'!A1"/><Relationship Id="rId10" Type="http://schemas.openxmlformats.org/officeDocument/2006/relationships/image" Target="../media/image4.jpeg"/><Relationship Id="rId4" Type="http://schemas.openxmlformats.org/officeDocument/2006/relationships/hyperlink" Target="#'2. Ontslagpagina'!AS1"/><Relationship Id="rId9" Type="http://schemas.openxmlformats.org/officeDocument/2006/relationships/hyperlink" Target="#'UWV-ontslag'!A1"/></Relationships>
</file>

<file path=xl/drawings/_rels/drawing11.xml.rels><?xml version="1.0" encoding="UTF-8" standalone="yes"?>
<Relationships xmlns="http://schemas.openxmlformats.org/package/2006/relationships"><Relationship Id="rId1" Type="http://schemas.openxmlformats.org/officeDocument/2006/relationships/hyperlink" Target="#'2. Ontslagpagina'!AS1"/></Relationships>
</file>

<file path=xl/drawings/_rels/drawing12.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13.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14.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15.xml.rels><?xml version="1.0" encoding="UTF-8" standalone="yes"?>
<Relationships xmlns="http://schemas.openxmlformats.org/package/2006/relationships"><Relationship Id="rId8" Type="http://schemas.openxmlformats.org/officeDocument/2006/relationships/hyperlink" Target="#'UWV-ontslag'!A1"/><Relationship Id="rId3" Type="http://schemas.openxmlformats.org/officeDocument/2006/relationships/hyperlink" Target="#'4. Formulieren'!A76"/><Relationship Id="rId7" Type="http://schemas.openxmlformats.org/officeDocument/2006/relationships/hyperlink" Target="#'2. Ontslagpagina'!A1"/><Relationship Id="rId2" Type="http://schemas.openxmlformats.org/officeDocument/2006/relationships/hyperlink" Target="#'4. Formulieren'!A1"/><Relationship Id="rId1" Type="http://schemas.openxmlformats.org/officeDocument/2006/relationships/image" Target="../media/image23.jpeg"/><Relationship Id="rId6" Type="http://schemas.openxmlformats.org/officeDocument/2006/relationships/hyperlink" Target="#'1. Invoer'!A1"/><Relationship Id="rId11" Type="http://schemas.openxmlformats.org/officeDocument/2006/relationships/image" Target="../media/image14.png"/><Relationship Id="rId5" Type="http://schemas.openxmlformats.org/officeDocument/2006/relationships/hyperlink" Target="#Stappenplan!A1"/><Relationship Id="rId10" Type="http://schemas.openxmlformats.org/officeDocument/2006/relationships/hyperlink" Target="#Start!A1"/><Relationship Id="rId4" Type="http://schemas.openxmlformats.org/officeDocument/2006/relationships/hyperlink" Target="#'4. Formulieren'!A146"/><Relationship Id="rId9"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17.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18.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19.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20.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21.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_rels/drawing22.xml.rels><?xml version="1.0" encoding="UTF-8" standalone="yes"?>
<Relationships xmlns="http://schemas.openxmlformats.org/package/2006/relationships"><Relationship Id="rId3" Type="http://schemas.openxmlformats.org/officeDocument/2006/relationships/hyperlink" Target="#'2. Ontslagpagina'!A1"/><Relationship Id="rId7" Type="http://schemas.openxmlformats.org/officeDocument/2006/relationships/image" Target="../media/image14.png"/><Relationship Id="rId2" Type="http://schemas.openxmlformats.org/officeDocument/2006/relationships/hyperlink" Target="#'1. Invoer'!A1"/><Relationship Id="rId1" Type="http://schemas.openxmlformats.org/officeDocument/2006/relationships/hyperlink" Target="#Stappenplan!A1"/><Relationship Id="rId6" Type="http://schemas.openxmlformats.org/officeDocument/2006/relationships/hyperlink" Target="#Start!A1"/><Relationship Id="rId5" Type="http://schemas.openxmlformats.org/officeDocument/2006/relationships/image" Target="../media/image4.jpeg"/><Relationship Id="rId4" Type="http://schemas.openxmlformats.org/officeDocument/2006/relationships/hyperlink" Target="#'UWV-ontslag'!A1"/></Relationships>
</file>

<file path=xl/drawings/drawing1.xml><?xml version="1.0" encoding="utf-8"?>
<xdr:wsDr xmlns:xdr="http://schemas.openxmlformats.org/drawingml/2006/spreadsheetDrawing" xmlns:a="http://schemas.openxmlformats.org/drawingml/2006/main">
  <xdr:twoCellAnchor editAs="oneCell">
    <xdr:from>
      <xdr:col>2</xdr:col>
      <xdr:colOff>148591</xdr:colOff>
      <xdr:row>0</xdr:row>
      <xdr:rowOff>281940</xdr:rowOff>
    </xdr:from>
    <xdr:to>
      <xdr:col>4</xdr:col>
      <xdr:colOff>334247</xdr:colOff>
      <xdr:row>2</xdr:row>
      <xdr:rowOff>27510</xdr:rowOff>
    </xdr:to>
    <xdr:pic>
      <xdr:nvPicPr>
        <xdr:cNvPr id="10" name="Afbeelding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4421" y="281940"/>
          <a:ext cx="2528806" cy="900000"/>
        </a:xfrm>
        <a:prstGeom prst="rect">
          <a:avLst/>
        </a:prstGeom>
        <a:solidFill>
          <a:srgbClr val="0062C4"/>
        </a:solidFill>
        <a:ln w="3175">
          <a:solidFill>
            <a:schemeClr val="tx1"/>
          </a:solidFill>
        </a:ln>
        <a:effectLst>
          <a:outerShdw blurRad="50800" dist="38100" dir="2700000" algn="tl" rotWithShape="0">
            <a:prstClr val="black">
              <a:alpha val="40000"/>
            </a:prstClr>
          </a:outerShdw>
        </a:effectLst>
      </xdr:spPr>
    </xdr:pic>
    <xdr:clientData/>
  </xdr:twoCellAnchor>
  <xdr:twoCellAnchor editAs="oneCell">
    <xdr:from>
      <xdr:col>2</xdr:col>
      <xdr:colOff>1028701</xdr:colOff>
      <xdr:row>17</xdr:row>
      <xdr:rowOff>0</xdr:rowOff>
    </xdr:from>
    <xdr:to>
      <xdr:col>4</xdr:col>
      <xdr:colOff>708595</xdr:colOff>
      <xdr:row>20</xdr:row>
      <xdr:rowOff>171360</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54531" y="3869102"/>
          <a:ext cx="2023044" cy="720000"/>
        </a:xfrm>
        <a:prstGeom prst="rect">
          <a:avLst/>
        </a:prstGeom>
        <a:ln w="3175">
          <a:solidFill>
            <a:schemeClr val="tx1"/>
          </a:solidFill>
        </a:ln>
        <a:effectLst>
          <a:outerShdw blurRad="152400" dist="12700" dir="5400000" sx="90000" sy="-19000" rotWithShape="0">
            <a:prstClr val="black">
              <a:alpha val="15000"/>
            </a:prstClr>
          </a:outerShdw>
        </a:effectLst>
      </xdr:spPr>
    </xdr:pic>
    <xdr:clientData/>
  </xdr:twoCellAnchor>
  <xdr:twoCellAnchor editAs="oneCell">
    <xdr:from>
      <xdr:col>4</xdr:col>
      <xdr:colOff>697231</xdr:colOff>
      <xdr:row>17</xdr:row>
      <xdr:rowOff>0</xdr:rowOff>
    </xdr:from>
    <xdr:to>
      <xdr:col>4</xdr:col>
      <xdr:colOff>1090187</xdr:colOff>
      <xdr:row>20</xdr:row>
      <xdr:rowOff>171360</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66211" y="3869102"/>
          <a:ext cx="392956" cy="720000"/>
        </a:xfrm>
        <a:prstGeom prst="rect">
          <a:avLst/>
        </a:prstGeom>
        <a:solidFill>
          <a:schemeClr val="bg1"/>
        </a:solidFill>
        <a:ln w="3175">
          <a:solidFill>
            <a:schemeClr val="tx1"/>
          </a:solidFill>
        </a:ln>
        <a:effectLst>
          <a:outerShdw blurRad="152400" dist="12700" dir="5400000" sx="90000" sy="-19000" rotWithShape="0">
            <a:prstClr val="black">
              <a:alpha val="15000"/>
            </a:prstClr>
          </a:outerShdw>
        </a:effectLst>
      </xdr:spPr>
    </xdr:pic>
    <xdr:clientData/>
  </xdr:twoCellAnchor>
  <xdr:twoCellAnchor editAs="oneCell">
    <xdr:from>
      <xdr:col>7</xdr:col>
      <xdr:colOff>697230</xdr:colOff>
      <xdr:row>0</xdr:row>
      <xdr:rowOff>285750</xdr:rowOff>
    </xdr:from>
    <xdr:to>
      <xdr:col>10</xdr:col>
      <xdr:colOff>193274</xdr:colOff>
      <xdr:row>2</xdr:row>
      <xdr:rowOff>31320</xdr:rowOff>
    </xdr:to>
    <xdr:pic>
      <xdr:nvPicPr>
        <xdr:cNvPr id="11" name="Afbeelding 10">
          <a:hlinkClick xmlns:r="http://schemas.openxmlformats.org/officeDocument/2006/relationships" r:id="rId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03570" y="285750"/>
          <a:ext cx="2528804" cy="900000"/>
        </a:xfrm>
        <a:prstGeom prst="rect">
          <a:avLst/>
        </a:prstGeom>
        <a:solidFill>
          <a:srgbClr val="0062C4"/>
        </a:solidFill>
        <a:ln w="3175">
          <a:solidFill>
            <a:schemeClr val="tx1"/>
          </a:solidFill>
        </a:ln>
        <a:effectLst>
          <a:outerShdw blurRad="50800" dist="38100" dir="2700000" algn="tl" rotWithShape="0">
            <a:prstClr val="black">
              <a:alpha val="40000"/>
            </a:prstClr>
          </a:outerShdw>
        </a:effectLst>
      </xdr:spPr>
    </xdr:pic>
    <xdr:clientData/>
  </xdr:twoCellAnchor>
  <xdr:twoCellAnchor editAs="oneCell">
    <xdr:from>
      <xdr:col>8</xdr:col>
      <xdr:colOff>327660</xdr:colOff>
      <xdr:row>17</xdr:row>
      <xdr:rowOff>0</xdr:rowOff>
    </xdr:from>
    <xdr:to>
      <xdr:col>10</xdr:col>
      <xdr:colOff>449514</xdr:colOff>
      <xdr:row>20</xdr:row>
      <xdr:rowOff>171360</xdr:rowOff>
    </xdr:to>
    <xdr:pic>
      <xdr:nvPicPr>
        <xdr:cNvPr id="12" name="Afbeelding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65570" y="3756660"/>
          <a:ext cx="2023044" cy="720000"/>
        </a:xfrm>
        <a:prstGeom prst="rect">
          <a:avLst/>
        </a:prstGeom>
        <a:ln w="3175">
          <a:solidFill>
            <a:schemeClr val="tx1"/>
          </a:solidFill>
        </a:ln>
        <a:effectLst>
          <a:outerShdw blurRad="152400" dist="12700" dir="5400000" sx="90000" sy="-19000" rotWithShape="0">
            <a:prstClr val="black">
              <a:alpha val="15000"/>
            </a:prstClr>
          </a:outerShdw>
        </a:effectLst>
      </xdr:spPr>
    </xdr:pic>
    <xdr:clientData/>
  </xdr:twoCellAnchor>
  <xdr:twoCellAnchor editAs="oneCell">
    <xdr:from>
      <xdr:col>10</xdr:col>
      <xdr:colOff>365761</xdr:colOff>
      <xdr:row>17</xdr:row>
      <xdr:rowOff>0</xdr:rowOff>
    </xdr:from>
    <xdr:to>
      <xdr:col>10</xdr:col>
      <xdr:colOff>758717</xdr:colOff>
      <xdr:row>20</xdr:row>
      <xdr:rowOff>171360</xdr:rowOff>
    </xdr:to>
    <xdr:pic>
      <xdr:nvPicPr>
        <xdr:cNvPr id="13" name="Afbeelding 12">
          <a:hlinkClick xmlns:r="http://schemas.openxmlformats.org/officeDocument/2006/relationships" r:id="rId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04861" y="3869102"/>
          <a:ext cx="392956" cy="720000"/>
        </a:xfrm>
        <a:prstGeom prst="rect">
          <a:avLst/>
        </a:prstGeom>
        <a:solidFill>
          <a:schemeClr val="bg1"/>
        </a:solidFill>
        <a:ln w="3175">
          <a:solidFill>
            <a:schemeClr val="tx1"/>
          </a:solidFill>
        </a:ln>
        <a:effectLst>
          <a:outerShdw blurRad="152400" dist="12700" dir="5400000" sx="90000" sy="-19000" rotWithShape="0">
            <a:prstClr val="black">
              <a:alpha val="15000"/>
            </a:prstClr>
          </a:outerShdw>
        </a:effectLst>
      </xdr:spPr>
    </xdr:pic>
    <xdr:clientData/>
  </xdr:twoCellAnchor>
  <xdr:twoCellAnchor editAs="oneCell">
    <xdr:from>
      <xdr:col>1</xdr:col>
      <xdr:colOff>575311</xdr:colOff>
      <xdr:row>5</xdr:row>
      <xdr:rowOff>57182</xdr:rowOff>
    </xdr:from>
    <xdr:to>
      <xdr:col>4</xdr:col>
      <xdr:colOff>548640</xdr:colOff>
      <xdr:row>9</xdr:row>
      <xdr:rowOff>77553</xdr:rowOff>
    </xdr:to>
    <xdr:pic>
      <xdr:nvPicPr>
        <xdr:cNvPr id="15" name="Afbeelding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1061" y="1790732"/>
          <a:ext cx="2956559" cy="694741"/>
        </a:xfrm>
        <a:prstGeom prst="rect">
          <a:avLst/>
        </a:prstGeom>
      </xdr:spPr>
    </xdr:pic>
    <xdr:clientData/>
  </xdr:twoCellAnchor>
  <xdr:twoCellAnchor editAs="oneCell">
    <xdr:from>
      <xdr:col>13</xdr:col>
      <xdr:colOff>411480</xdr:colOff>
      <xdr:row>0</xdr:row>
      <xdr:rowOff>274320</xdr:rowOff>
    </xdr:from>
    <xdr:to>
      <xdr:col>18</xdr:col>
      <xdr:colOff>564407</xdr:colOff>
      <xdr:row>2</xdr:row>
      <xdr:rowOff>19890</xdr:rowOff>
    </xdr:to>
    <xdr:pic>
      <xdr:nvPicPr>
        <xdr:cNvPr id="17" name="Afbeelding 16">
          <a:hlinkClick xmlns:r="http://schemas.openxmlformats.org/officeDocument/2006/relationships" r:id="rId8"/>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944100" y="274320"/>
          <a:ext cx="3098057" cy="900000"/>
        </a:xfrm>
        <a:prstGeom prst="rect">
          <a:avLst/>
        </a:prstGeom>
        <a:solidFill>
          <a:srgbClr val="0062C4"/>
        </a:solidFill>
        <a:ln w="3175">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990600</xdr:colOff>
      <xdr:row>4</xdr:row>
      <xdr:rowOff>144780</xdr:rowOff>
    </xdr:from>
    <xdr:to>
      <xdr:col>9</xdr:col>
      <xdr:colOff>252536</xdr:colOff>
      <xdr:row>10</xdr:row>
      <xdr:rowOff>42506</xdr:rowOff>
    </xdr:to>
    <xdr:pic>
      <xdr:nvPicPr>
        <xdr:cNvPr id="23" name="Afbeelding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flipH="1">
          <a:off x="5996940" y="1695450"/>
          <a:ext cx="1959416" cy="918806"/>
        </a:xfrm>
        <a:prstGeom prst="rect">
          <a:avLst/>
        </a:prstGeom>
      </xdr:spPr>
    </xdr:pic>
    <xdr:clientData/>
  </xdr:twoCellAnchor>
  <xdr:twoCellAnchor editAs="oneCell">
    <xdr:from>
      <xdr:col>15</xdr:col>
      <xdr:colOff>300992</xdr:colOff>
      <xdr:row>17</xdr:row>
      <xdr:rowOff>0</xdr:rowOff>
    </xdr:from>
    <xdr:to>
      <xdr:col>18</xdr:col>
      <xdr:colOff>270447</xdr:colOff>
      <xdr:row>20</xdr:row>
      <xdr:rowOff>171360</xdr:rowOff>
    </xdr:to>
    <xdr:pic>
      <xdr:nvPicPr>
        <xdr:cNvPr id="21" name="Afbeelding 20">
          <a:hlinkClick xmlns:r="http://schemas.openxmlformats.org/officeDocument/2006/relationships" r:id="rId11"/>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725152" y="3756660"/>
          <a:ext cx="2023045" cy="720000"/>
        </a:xfrm>
        <a:prstGeom prst="rect">
          <a:avLst/>
        </a:prstGeom>
        <a:ln w="3175">
          <a:solidFill>
            <a:schemeClr val="tx1"/>
          </a:solidFill>
        </a:ln>
        <a:effectLst>
          <a:outerShdw blurRad="152400" dist="12700" dir="5400000" sx="90000" sy="-19000" rotWithShape="0">
            <a:prstClr val="black">
              <a:alpha val="15000"/>
            </a:prstClr>
          </a:outerShdw>
        </a:effectLst>
      </xdr:spPr>
    </xdr:pic>
    <xdr:clientData/>
  </xdr:twoCellAnchor>
  <xdr:twoCellAnchor editAs="oneCell">
    <xdr:from>
      <xdr:col>18</xdr:col>
      <xdr:colOff>171451</xdr:colOff>
      <xdr:row>17</xdr:row>
      <xdr:rowOff>0</xdr:rowOff>
    </xdr:from>
    <xdr:to>
      <xdr:col>18</xdr:col>
      <xdr:colOff>564407</xdr:colOff>
      <xdr:row>20</xdr:row>
      <xdr:rowOff>171360</xdr:rowOff>
    </xdr:to>
    <xdr:pic>
      <xdr:nvPicPr>
        <xdr:cNvPr id="25" name="Afbeelding 24">
          <a:hlinkClick xmlns:r="http://schemas.openxmlformats.org/officeDocument/2006/relationships" r:id="rId1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649201" y="3756660"/>
          <a:ext cx="392956" cy="720000"/>
        </a:xfrm>
        <a:prstGeom prst="rect">
          <a:avLst/>
        </a:prstGeom>
        <a:solidFill>
          <a:schemeClr val="bg1"/>
        </a:solidFill>
        <a:ln w="3175">
          <a:solidFill>
            <a:schemeClr val="tx1"/>
          </a:solidFill>
        </a:ln>
        <a:effectLst>
          <a:outerShdw blurRad="152400" dist="12700" dir="5400000" sx="90000" sy="-19000" rotWithShape="0">
            <a:prstClr val="black">
              <a:alpha val="15000"/>
            </a:prstClr>
          </a:outerShdw>
        </a:effectLst>
      </xdr:spPr>
    </xdr:pic>
    <xdr:clientData/>
  </xdr:twoCellAnchor>
  <xdr:twoCellAnchor>
    <xdr:from>
      <xdr:col>16</xdr:col>
      <xdr:colOff>422910</xdr:colOff>
      <xdr:row>12</xdr:row>
      <xdr:rowOff>95250</xdr:rowOff>
    </xdr:from>
    <xdr:to>
      <xdr:col>18</xdr:col>
      <xdr:colOff>564407</xdr:colOff>
      <xdr:row>13</xdr:row>
      <xdr:rowOff>121920</xdr:rowOff>
    </xdr:to>
    <xdr:sp macro="" textlink="">
      <xdr:nvSpPr>
        <xdr:cNvPr id="26" name="Rechthoek 25">
          <a:hlinkClick xmlns:r="http://schemas.openxmlformats.org/officeDocument/2006/relationships" r:id="rId13"/>
          <a:extLst>
            <a:ext uri="{FF2B5EF4-FFF2-40B4-BE49-F238E27FC236}">
              <a16:creationId xmlns:a16="http://schemas.microsoft.com/office/drawing/2014/main" id="{00000000-0008-0000-0000-00001A000000}"/>
            </a:ext>
          </a:extLst>
        </xdr:cNvPr>
        <xdr:cNvSpPr/>
      </xdr:nvSpPr>
      <xdr:spPr>
        <a:xfrm>
          <a:off x="11498580" y="3238500"/>
          <a:ext cx="1543577" cy="209550"/>
        </a:xfrm>
        <a:prstGeom prst="rect">
          <a:avLst/>
        </a:prstGeom>
        <a:ln w="3175">
          <a:solidFill>
            <a:schemeClr val="tx1"/>
          </a:solidFill>
        </a:ln>
        <a:effectLst>
          <a:outerShdw blurRad="50800" dist="127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l-NL" sz="1050" b="0">
              <a:solidFill>
                <a:srgbClr val="0062C4"/>
              </a:solidFill>
              <a:latin typeface="+mn-lt"/>
            </a:rPr>
            <a:t>Specialisten raadplegen  &gt;</a:t>
          </a:r>
        </a:p>
      </xdr:txBody>
    </xdr:sp>
    <xdr:clientData/>
  </xdr:twoCellAnchor>
  <xdr:twoCellAnchor>
    <xdr:from>
      <xdr:col>16</xdr:col>
      <xdr:colOff>430530</xdr:colOff>
      <xdr:row>14</xdr:row>
      <xdr:rowOff>76200</xdr:rowOff>
    </xdr:from>
    <xdr:to>
      <xdr:col>18</xdr:col>
      <xdr:colOff>564407</xdr:colOff>
      <xdr:row>15</xdr:row>
      <xdr:rowOff>125730</xdr:rowOff>
    </xdr:to>
    <xdr:sp macro="" textlink="">
      <xdr:nvSpPr>
        <xdr:cNvPr id="27" name="Rechthoek 26">
          <a:hlinkClick xmlns:r="http://schemas.openxmlformats.org/officeDocument/2006/relationships" r:id="rId14"/>
          <a:extLst>
            <a:ext uri="{FF2B5EF4-FFF2-40B4-BE49-F238E27FC236}">
              <a16:creationId xmlns:a16="http://schemas.microsoft.com/office/drawing/2014/main" id="{00000000-0008-0000-0000-00001B000000}"/>
            </a:ext>
          </a:extLst>
        </xdr:cNvPr>
        <xdr:cNvSpPr/>
      </xdr:nvSpPr>
      <xdr:spPr>
        <a:xfrm>
          <a:off x="11506200" y="3566160"/>
          <a:ext cx="1535957" cy="232410"/>
        </a:xfrm>
        <a:prstGeom prst="rect">
          <a:avLst/>
        </a:prstGeom>
        <a:ln w="3175">
          <a:solidFill>
            <a:schemeClr val="tx1"/>
          </a:solidFill>
        </a:ln>
        <a:effectLst>
          <a:outerShdw blurRad="50800" dist="127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l-NL" sz="1050" b="0">
              <a:solidFill>
                <a:srgbClr val="0062C4"/>
              </a:solidFill>
              <a:latin typeface="+mn-lt"/>
            </a:rPr>
            <a:t>Alle</a:t>
          </a:r>
          <a:r>
            <a:rPr lang="nl-NL" sz="1050" b="0" baseline="0">
              <a:solidFill>
                <a:srgbClr val="0062C4"/>
              </a:solidFill>
              <a:latin typeface="+mn-lt"/>
            </a:rPr>
            <a:t> opleidingen  &gt; </a:t>
          </a:r>
          <a:endParaRPr lang="nl-NL" sz="1050" b="0">
            <a:solidFill>
              <a:srgbClr val="0062C4"/>
            </a:solidFill>
            <a:latin typeface="+mn-lt"/>
          </a:endParaRPr>
        </a:p>
      </xdr:txBody>
    </xdr:sp>
    <xdr:clientData/>
  </xdr:twoCellAnchor>
  <xdr:twoCellAnchor editAs="oneCell">
    <xdr:from>
      <xdr:col>2</xdr:col>
      <xdr:colOff>1043941</xdr:colOff>
      <xdr:row>17</xdr:row>
      <xdr:rowOff>0</xdr:rowOff>
    </xdr:from>
    <xdr:to>
      <xdr:col>4</xdr:col>
      <xdr:colOff>723835</xdr:colOff>
      <xdr:row>20</xdr:row>
      <xdr:rowOff>171360</xdr:rowOff>
    </xdr:to>
    <xdr:pic>
      <xdr:nvPicPr>
        <xdr:cNvPr id="16" name="Afbeelding 15">
          <a:hlinkClick xmlns:r="http://schemas.openxmlformats.org/officeDocument/2006/relationships" r:id="rId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9771" y="3756660"/>
          <a:ext cx="2023044" cy="720000"/>
        </a:xfrm>
        <a:prstGeom prst="rect">
          <a:avLst/>
        </a:prstGeom>
        <a:ln w="3175">
          <a:solidFill>
            <a:schemeClr val="tx1"/>
          </a:solidFill>
        </a:ln>
        <a:effectLst>
          <a:outerShdw blurRad="152400" dist="12700" dir="5400000" sx="90000" sy="-19000" rotWithShape="0">
            <a:prstClr val="black">
              <a:alpha val="15000"/>
            </a:prstClr>
          </a:outerShdw>
        </a:effectLst>
      </xdr:spPr>
    </xdr:pic>
    <xdr:clientData/>
  </xdr:twoCellAnchor>
  <xdr:twoCellAnchor editAs="oneCell">
    <xdr:from>
      <xdr:col>4</xdr:col>
      <xdr:colOff>712471</xdr:colOff>
      <xdr:row>17</xdr:row>
      <xdr:rowOff>0</xdr:rowOff>
    </xdr:from>
    <xdr:to>
      <xdr:col>4</xdr:col>
      <xdr:colOff>1105427</xdr:colOff>
      <xdr:row>20</xdr:row>
      <xdr:rowOff>171360</xdr:rowOff>
    </xdr:to>
    <xdr:pic>
      <xdr:nvPicPr>
        <xdr:cNvPr id="18" name="Afbeelding 17">
          <a:hlinkClick xmlns:r="http://schemas.openxmlformats.org/officeDocument/2006/relationships" r:id="rId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81451" y="3756660"/>
          <a:ext cx="392956" cy="720000"/>
        </a:xfrm>
        <a:prstGeom prst="rect">
          <a:avLst/>
        </a:prstGeom>
        <a:solidFill>
          <a:schemeClr val="bg1"/>
        </a:solidFill>
        <a:ln w="3175">
          <a:solidFill>
            <a:schemeClr val="tx1"/>
          </a:solidFill>
        </a:ln>
        <a:effectLst>
          <a:outerShdw blurRad="152400" dist="12700" dir="5400000" sx="90000" sy="-19000" rotWithShape="0">
            <a:prstClr val="black">
              <a:alpha val="15000"/>
            </a:prstClr>
          </a:outerShdw>
        </a:effectLst>
      </xdr:spPr>
    </xdr:pic>
    <xdr:clientData/>
  </xdr:twoCellAnchor>
  <xdr:twoCellAnchor editAs="oneCell">
    <xdr:from>
      <xdr:col>16</xdr:col>
      <xdr:colOff>373583</xdr:colOff>
      <xdr:row>4</xdr:row>
      <xdr:rowOff>133350</xdr:rowOff>
    </xdr:from>
    <xdr:to>
      <xdr:col>18</xdr:col>
      <xdr:colOff>621030</xdr:colOff>
      <xdr:row>10</xdr:row>
      <xdr:rowOff>72389</xdr:rowOff>
    </xdr:to>
    <xdr:pic>
      <xdr:nvPicPr>
        <xdr:cNvPr id="4" name="Afbeelding 3">
          <a:hlinkClick xmlns:r="http://schemas.openxmlformats.org/officeDocument/2006/relationships" r:id="rId1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449253" y="1684020"/>
          <a:ext cx="1649527" cy="960119"/>
        </a:xfrm>
        <a:prstGeom prst="rect">
          <a:avLst/>
        </a:prstGeom>
      </xdr:spPr>
    </xdr:pic>
    <xdr:clientData/>
  </xdr:twoCellAnchor>
  <xdr:twoCellAnchor editAs="oneCell">
    <xdr:from>
      <xdr:col>13</xdr:col>
      <xdr:colOff>556463</xdr:colOff>
      <xdr:row>4</xdr:row>
      <xdr:rowOff>129540</xdr:rowOff>
    </xdr:from>
    <xdr:to>
      <xdr:col>17</xdr:col>
      <xdr:colOff>167640</xdr:colOff>
      <xdr:row>10</xdr:row>
      <xdr:rowOff>68579</xdr:rowOff>
    </xdr:to>
    <xdr:pic>
      <xdr:nvPicPr>
        <xdr:cNvPr id="19" name="Afbeelding 18">
          <a:hlinkClick xmlns:r="http://schemas.openxmlformats.org/officeDocument/2006/relationships" r:id="rId1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089083" y="1680210"/>
          <a:ext cx="1649527" cy="960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6</xdr:row>
      <xdr:rowOff>160020</xdr:rowOff>
    </xdr:from>
    <xdr:to>
      <xdr:col>14</xdr:col>
      <xdr:colOff>568024</xdr:colOff>
      <xdr:row>11</xdr:row>
      <xdr:rowOff>97292</xdr:rowOff>
    </xdr:to>
    <xdr:pic>
      <xdr:nvPicPr>
        <xdr:cNvPr id="2" name="Afbeelding 1">
          <a:hlinkClick xmlns:r="http://schemas.openxmlformats.org/officeDocument/2006/relationships" r:id="rId1"/>
          <a:extLst>
            <a:ext uri="{FF2B5EF4-FFF2-40B4-BE49-F238E27FC236}">
              <a16:creationId xmlns:a16="http://schemas.microsoft.com/office/drawing/2014/main" id="{7735DFE9-0CE4-4FFF-B0BB-72A55DE196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36130" y="2106930"/>
          <a:ext cx="2393014" cy="851672"/>
        </a:xfrm>
        <a:prstGeom prst="rect">
          <a:avLst/>
        </a:prstGeom>
        <a:ln w="3175">
          <a:solidFill>
            <a:schemeClr val="tx1"/>
          </a:solidFill>
        </a:ln>
        <a:effectLst>
          <a:outerShdw blurRad="127000" dist="38100" dir="5400000" algn="ctr" rotWithShape="0">
            <a:prstClr val="black">
              <a:alpha val="40000"/>
            </a:prstClr>
          </a:outerShdw>
        </a:effectLst>
      </xdr:spPr>
    </xdr:pic>
    <xdr:clientData/>
  </xdr:twoCellAnchor>
  <xdr:twoCellAnchor editAs="oneCell">
    <xdr:from>
      <xdr:col>14</xdr:col>
      <xdr:colOff>400050</xdr:colOff>
      <xdr:row>6</xdr:row>
      <xdr:rowOff>160020</xdr:rowOff>
    </xdr:from>
    <xdr:to>
      <xdr:col>15</xdr:col>
      <xdr:colOff>224789</xdr:colOff>
      <xdr:row>11</xdr:row>
      <xdr:rowOff>97292</xdr:rowOff>
    </xdr:to>
    <xdr:pic>
      <xdr:nvPicPr>
        <xdr:cNvPr id="3" name="Afbeelding 2">
          <a:hlinkClick xmlns:r="http://schemas.openxmlformats.org/officeDocument/2006/relationships" r:id="rId1"/>
          <a:extLst>
            <a:ext uri="{FF2B5EF4-FFF2-40B4-BE49-F238E27FC236}">
              <a16:creationId xmlns:a16="http://schemas.microsoft.com/office/drawing/2014/main" id="{A0F07250-4238-4490-92AA-4DC927C6AB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1170" y="2106930"/>
          <a:ext cx="464819" cy="851672"/>
        </a:xfrm>
        <a:prstGeom prst="rect">
          <a:avLst/>
        </a:prstGeom>
        <a:solidFill>
          <a:schemeClr val="bg1"/>
        </a:solidFill>
        <a:ln w="3175">
          <a:solidFill>
            <a:schemeClr val="tx1"/>
          </a:solidFill>
        </a:ln>
        <a:effectLst>
          <a:outerShdw blurRad="127000" dist="38100" dir="5400000" algn="ctr" rotWithShape="0">
            <a:prstClr val="black">
              <a:alpha val="40000"/>
            </a:prstClr>
          </a:outerShdw>
        </a:effectLst>
      </xdr:spPr>
    </xdr:pic>
    <xdr:clientData/>
  </xdr:twoCellAnchor>
  <xdr:twoCellAnchor editAs="oneCell">
    <xdr:from>
      <xdr:col>2</xdr:col>
      <xdr:colOff>53340</xdr:colOff>
      <xdr:row>0</xdr:row>
      <xdr:rowOff>328795</xdr:rowOff>
    </xdr:from>
    <xdr:to>
      <xdr:col>8</xdr:col>
      <xdr:colOff>636270</xdr:colOff>
      <xdr:row>21</xdr:row>
      <xdr:rowOff>118110</xdr:rowOff>
    </xdr:to>
    <xdr:pic>
      <xdr:nvPicPr>
        <xdr:cNvPr id="4" name="Afbeelding 3">
          <a:hlinkClick xmlns:r="http://schemas.openxmlformats.org/officeDocument/2006/relationships" r:id="rId1"/>
          <a:extLst>
            <a:ext uri="{FF2B5EF4-FFF2-40B4-BE49-F238E27FC236}">
              <a16:creationId xmlns:a16="http://schemas.microsoft.com/office/drawing/2014/main" id="{6D1DAC6D-57DA-49AE-B77F-7AC4E822C7C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500" y="328795"/>
          <a:ext cx="4423410" cy="4479425"/>
        </a:xfrm>
        <a:prstGeom prst="rect">
          <a:avLst/>
        </a:prstGeom>
        <a:effectLst>
          <a:outerShdw blurRad="101600" dist="38100" dir="8100000" algn="tr" rotWithShape="0">
            <a:prstClr val="black">
              <a:alpha val="3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224790</xdr:colOff>
      <xdr:row>1</xdr:row>
      <xdr:rowOff>110490</xdr:rowOff>
    </xdr:from>
    <xdr:to>
      <xdr:col>23</xdr:col>
      <xdr:colOff>236220</xdr:colOff>
      <xdr:row>3</xdr:row>
      <xdr:rowOff>223770</xdr:rowOff>
    </xdr:to>
    <xdr:sp macro="" textlink="">
      <xdr:nvSpPr>
        <xdr:cNvPr id="6" name="Rechthoek 5">
          <a:extLst>
            <a:ext uri="{FF2B5EF4-FFF2-40B4-BE49-F238E27FC236}">
              <a16:creationId xmlns:a16="http://schemas.microsoft.com/office/drawing/2014/main" id="{00000000-0008-0000-0100-000006000000}"/>
            </a:ext>
          </a:extLst>
        </xdr:cNvPr>
        <xdr:cNvSpPr/>
      </xdr:nvSpPr>
      <xdr:spPr>
        <a:xfrm>
          <a:off x="7094220" y="110490"/>
          <a:ext cx="4625340" cy="54000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Een helder advies  </a:t>
          </a:r>
          <a:r>
            <a:rPr lang="nl-NL" sz="2000" b="0"/>
            <a:t>|</a:t>
          </a:r>
          <a:r>
            <a:rPr lang="nl-NL" sz="2000" b="1"/>
            <a:t> </a:t>
          </a:r>
          <a:r>
            <a:rPr lang="nl-NL" sz="1500" b="0"/>
            <a:t>per ontslagsituatie</a:t>
          </a:r>
        </a:p>
      </xdr:txBody>
    </xdr:sp>
    <xdr:clientData/>
  </xdr:twoCellAnchor>
  <xdr:twoCellAnchor editAs="oneCell">
    <xdr:from>
      <xdr:col>1</xdr:col>
      <xdr:colOff>30480</xdr:colOff>
      <xdr:row>7</xdr:row>
      <xdr:rowOff>41910</xdr:rowOff>
    </xdr:from>
    <xdr:to>
      <xdr:col>2</xdr:col>
      <xdr:colOff>68580</xdr:colOff>
      <xdr:row>7</xdr:row>
      <xdr:rowOff>160020</xdr:rowOff>
    </xdr:to>
    <xdr:pic>
      <xdr:nvPicPr>
        <xdr:cNvPr id="13" name="Afbeelding 12">
          <a:hlinkClick xmlns:r="http://schemas.openxmlformats.org/officeDocument/2006/relationships" r:id="rId1"/>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116330"/>
          <a:ext cx="118110" cy="118110"/>
        </a:xfrm>
        <a:prstGeom prst="rect">
          <a:avLst/>
        </a:prstGeom>
      </xdr:spPr>
    </xdr:pic>
    <xdr:clientData/>
  </xdr:twoCellAnchor>
  <xdr:twoCellAnchor editAs="oneCell">
    <xdr:from>
      <xdr:col>11</xdr:col>
      <xdr:colOff>422910</xdr:colOff>
      <xdr:row>2</xdr:row>
      <xdr:rowOff>53340</xdr:rowOff>
    </xdr:from>
    <xdr:to>
      <xdr:col>11</xdr:col>
      <xdr:colOff>662940</xdr:colOff>
      <xdr:row>3</xdr:row>
      <xdr:rowOff>72390</xdr:rowOff>
    </xdr:to>
    <xdr:pic>
      <xdr:nvPicPr>
        <xdr:cNvPr id="14" name="Afbeelding 13">
          <a:hlinkClick xmlns:r="http://schemas.openxmlformats.org/officeDocument/2006/relationships" r:id="rId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26530" y="259080"/>
          <a:ext cx="240030" cy="240030"/>
        </a:xfrm>
        <a:prstGeom prst="rect">
          <a:avLst/>
        </a:prstGeom>
      </xdr:spPr>
    </xdr:pic>
    <xdr:clientData/>
  </xdr:twoCellAnchor>
  <xdr:twoCellAnchor editAs="oneCell">
    <xdr:from>
      <xdr:col>1</xdr:col>
      <xdr:colOff>30480</xdr:colOff>
      <xdr:row>9</xdr:row>
      <xdr:rowOff>41910</xdr:rowOff>
    </xdr:from>
    <xdr:to>
      <xdr:col>2</xdr:col>
      <xdr:colOff>68580</xdr:colOff>
      <xdr:row>9</xdr:row>
      <xdr:rowOff>160020</xdr:rowOff>
    </xdr:to>
    <xdr:pic>
      <xdr:nvPicPr>
        <xdr:cNvPr id="15" name="Afbeelding 14">
          <a:hlinkClick xmlns:r="http://schemas.openxmlformats.org/officeDocument/2006/relationships" r:id="rId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375410"/>
          <a:ext cx="118110" cy="118110"/>
        </a:xfrm>
        <a:prstGeom prst="rect">
          <a:avLst/>
        </a:prstGeom>
      </xdr:spPr>
    </xdr:pic>
    <xdr:clientData/>
  </xdr:twoCellAnchor>
  <xdr:twoCellAnchor editAs="oneCell">
    <xdr:from>
      <xdr:col>1</xdr:col>
      <xdr:colOff>41910</xdr:colOff>
      <xdr:row>11</xdr:row>
      <xdr:rowOff>41910</xdr:rowOff>
    </xdr:from>
    <xdr:to>
      <xdr:col>2</xdr:col>
      <xdr:colOff>80010</xdr:colOff>
      <xdr:row>11</xdr:row>
      <xdr:rowOff>160020</xdr:rowOff>
    </xdr:to>
    <xdr:pic>
      <xdr:nvPicPr>
        <xdr:cNvPr id="16" name="Afbeelding 15">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080" y="1630680"/>
          <a:ext cx="118110" cy="118110"/>
        </a:xfrm>
        <a:prstGeom prst="rect">
          <a:avLst/>
        </a:prstGeom>
      </xdr:spPr>
    </xdr:pic>
    <xdr:clientData/>
  </xdr:twoCellAnchor>
  <xdr:twoCellAnchor editAs="oneCell">
    <xdr:from>
      <xdr:col>1</xdr:col>
      <xdr:colOff>30480</xdr:colOff>
      <xdr:row>26</xdr:row>
      <xdr:rowOff>64767</xdr:rowOff>
    </xdr:from>
    <xdr:to>
      <xdr:col>2</xdr:col>
      <xdr:colOff>68580</xdr:colOff>
      <xdr:row>26</xdr:row>
      <xdr:rowOff>182877</xdr:rowOff>
    </xdr:to>
    <xdr:pic>
      <xdr:nvPicPr>
        <xdr:cNvPr id="17" name="Afbeelding 16">
          <a:hlinkClick xmlns:r="http://schemas.openxmlformats.org/officeDocument/2006/relationships" r:id="rId5"/>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3722367"/>
          <a:ext cx="118110" cy="118110"/>
        </a:xfrm>
        <a:prstGeom prst="rect">
          <a:avLst/>
        </a:prstGeom>
      </xdr:spPr>
    </xdr:pic>
    <xdr:clientData/>
  </xdr:twoCellAnchor>
  <xdr:twoCellAnchor editAs="oneCell">
    <xdr:from>
      <xdr:col>13</xdr:col>
      <xdr:colOff>57412</xdr:colOff>
      <xdr:row>5</xdr:row>
      <xdr:rowOff>41844</xdr:rowOff>
    </xdr:from>
    <xdr:to>
      <xdr:col>13</xdr:col>
      <xdr:colOff>175522</xdr:colOff>
      <xdr:row>5</xdr:row>
      <xdr:rowOff>159954</xdr:rowOff>
    </xdr:to>
    <xdr:pic>
      <xdr:nvPicPr>
        <xdr:cNvPr id="18" name="Afbeelding 17">
          <a:hlinkClick xmlns:r="http://schemas.openxmlformats.org/officeDocument/2006/relationships" r:id="rId6"/>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65033" y="866249"/>
          <a:ext cx="118110" cy="118110"/>
        </a:xfrm>
        <a:prstGeom prst="rect">
          <a:avLst/>
        </a:prstGeom>
      </xdr:spPr>
    </xdr:pic>
    <xdr:clientData/>
  </xdr:twoCellAnchor>
  <xdr:twoCellAnchor editAs="oneCell">
    <xdr:from>
      <xdr:col>1</xdr:col>
      <xdr:colOff>30480</xdr:colOff>
      <xdr:row>15</xdr:row>
      <xdr:rowOff>38100</xdr:rowOff>
    </xdr:from>
    <xdr:to>
      <xdr:col>2</xdr:col>
      <xdr:colOff>68580</xdr:colOff>
      <xdr:row>15</xdr:row>
      <xdr:rowOff>156210</xdr:rowOff>
    </xdr:to>
    <xdr:pic>
      <xdr:nvPicPr>
        <xdr:cNvPr id="25" name="Afbeelding 24">
          <a:hlinkClick xmlns:r="http://schemas.openxmlformats.org/officeDocument/2006/relationships" r:id="rId7"/>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076450"/>
          <a:ext cx="118110" cy="118110"/>
        </a:xfrm>
        <a:prstGeom prst="rect">
          <a:avLst/>
        </a:prstGeom>
      </xdr:spPr>
    </xdr:pic>
    <xdr:clientData/>
  </xdr:twoCellAnchor>
  <xdr:twoCellAnchor editAs="oneCell">
    <xdr:from>
      <xdr:col>18</xdr:col>
      <xdr:colOff>101162</xdr:colOff>
      <xdr:row>5</xdr:row>
      <xdr:rowOff>41844</xdr:rowOff>
    </xdr:from>
    <xdr:to>
      <xdr:col>18</xdr:col>
      <xdr:colOff>219272</xdr:colOff>
      <xdr:row>5</xdr:row>
      <xdr:rowOff>159954</xdr:rowOff>
    </xdr:to>
    <xdr:pic>
      <xdr:nvPicPr>
        <xdr:cNvPr id="39" name="Afbeelding 38">
          <a:hlinkClick xmlns:r="http://schemas.openxmlformats.org/officeDocument/2006/relationships" r:id="rId7"/>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2464" y="866249"/>
          <a:ext cx="118110" cy="118110"/>
        </a:xfrm>
        <a:prstGeom prst="rect">
          <a:avLst/>
        </a:prstGeom>
      </xdr:spPr>
    </xdr:pic>
    <xdr:clientData/>
  </xdr:twoCellAnchor>
  <xdr:twoCellAnchor editAs="oneCell">
    <xdr:from>
      <xdr:col>22</xdr:col>
      <xdr:colOff>154700</xdr:colOff>
      <xdr:row>5</xdr:row>
      <xdr:rowOff>41844</xdr:rowOff>
    </xdr:from>
    <xdr:to>
      <xdr:col>22</xdr:col>
      <xdr:colOff>272810</xdr:colOff>
      <xdr:row>5</xdr:row>
      <xdr:rowOff>159954</xdr:rowOff>
    </xdr:to>
    <xdr:pic>
      <xdr:nvPicPr>
        <xdr:cNvPr id="40" name="Afbeelding 39">
          <a:hlinkClick xmlns:r="http://schemas.openxmlformats.org/officeDocument/2006/relationships" r:id="rId5"/>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65928" y="866249"/>
          <a:ext cx="118110" cy="118110"/>
        </a:xfrm>
        <a:prstGeom prst="rect">
          <a:avLst/>
        </a:prstGeom>
      </xdr:spPr>
    </xdr:pic>
    <xdr:clientData/>
  </xdr:twoCellAnchor>
  <xdr:twoCellAnchor editAs="oneCell">
    <xdr:from>
      <xdr:col>26</xdr:col>
      <xdr:colOff>106680</xdr:colOff>
      <xdr:row>25</xdr:row>
      <xdr:rowOff>53276</xdr:rowOff>
    </xdr:from>
    <xdr:to>
      <xdr:col>27</xdr:col>
      <xdr:colOff>106680</xdr:colOff>
      <xdr:row>26</xdr:row>
      <xdr:rowOff>76136</xdr:rowOff>
    </xdr:to>
    <xdr:pic>
      <xdr:nvPicPr>
        <xdr:cNvPr id="47" name="Afbeelding 46">
          <a:hlinkClick xmlns:r="http://schemas.openxmlformats.org/officeDocument/2006/relationships" r:id="rId8"/>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51230" y="3760406"/>
          <a:ext cx="118110" cy="118110"/>
        </a:xfrm>
        <a:prstGeom prst="rect">
          <a:avLst/>
        </a:prstGeom>
      </xdr:spPr>
    </xdr:pic>
    <xdr:clientData/>
  </xdr:twoCellAnchor>
  <xdr:twoCellAnchor editAs="oneCell">
    <xdr:from>
      <xdr:col>13</xdr:col>
      <xdr:colOff>59383</xdr:colOff>
      <xdr:row>5</xdr:row>
      <xdr:rowOff>43289</xdr:rowOff>
    </xdr:from>
    <xdr:to>
      <xdr:col>13</xdr:col>
      <xdr:colOff>177493</xdr:colOff>
      <xdr:row>5</xdr:row>
      <xdr:rowOff>161399</xdr:rowOff>
    </xdr:to>
    <xdr:pic>
      <xdr:nvPicPr>
        <xdr:cNvPr id="54" name="Afbeelding 53">
          <a:hlinkClick xmlns:r="http://schemas.openxmlformats.org/officeDocument/2006/relationships" r:id="rId6"/>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65033" y="866249"/>
          <a:ext cx="118110" cy="118110"/>
        </a:xfrm>
        <a:prstGeom prst="rect">
          <a:avLst/>
        </a:prstGeom>
      </xdr:spPr>
    </xdr:pic>
    <xdr:clientData/>
  </xdr:twoCellAnchor>
  <xdr:twoCellAnchor editAs="oneCell">
    <xdr:from>
      <xdr:col>10</xdr:col>
      <xdr:colOff>101293</xdr:colOff>
      <xdr:row>5</xdr:row>
      <xdr:rowOff>43289</xdr:rowOff>
    </xdr:from>
    <xdr:to>
      <xdr:col>10</xdr:col>
      <xdr:colOff>219403</xdr:colOff>
      <xdr:row>5</xdr:row>
      <xdr:rowOff>161399</xdr:rowOff>
    </xdr:to>
    <xdr:pic>
      <xdr:nvPicPr>
        <xdr:cNvPr id="55" name="Afbeelding 54">
          <a:hlinkClick xmlns:r="http://schemas.openxmlformats.org/officeDocument/2006/relationships" r:id="rId9"/>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65723" y="866249"/>
          <a:ext cx="118110" cy="118110"/>
        </a:xfrm>
        <a:prstGeom prst="rect">
          <a:avLst/>
        </a:prstGeom>
      </xdr:spPr>
    </xdr:pic>
    <xdr:clientData/>
  </xdr:twoCellAnchor>
  <xdr:twoCellAnchor editAs="oneCell">
    <xdr:from>
      <xdr:col>2</xdr:col>
      <xdr:colOff>720091</xdr:colOff>
      <xdr:row>1</xdr:row>
      <xdr:rowOff>80010</xdr:rowOff>
    </xdr:from>
    <xdr:to>
      <xdr:col>4</xdr:col>
      <xdr:colOff>1084587</xdr:colOff>
      <xdr:row>4</xdr:row>
      <xdr:rowOff>110491</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17271" y="80010"/>
          <a:ext cx="2044706" cy="727711"/>
        </a:xfrm>
        <a:prstGeom prst="rect">
          <a:avLst/>
        </a:prstGeom>
        <a:solidFill>
          <a:srgbClr val="0062C4"/>
        </a:solidFill>
        <a:ln w="1270">
          <a:solidFill>
            <a:schemeClr val="tx1"/>
          </a:solidFill>
        </a:ln>
        <a:effectLst>
          <a:outerShdw blurRad="50800" dist="38100" dir="2700000" algn="tl" rotWithShape="0">
            <a:prstClr val="black">
              <a:alpha val="40000"/>
            </a:prstClr>
          </a:outerShdw>
        </a:effectLst>
      </xdr:spPr>
    </xdr:pic>
    <xdr:clientData/>
  </xdr:twoCellAnchor>
  <xdr:twoCellAnchor editAs="oneCell">
    <xdr:from>
      <xdr:col>2</xdr:col>
      <xdr:colOff>106680</xdr:colOff>
      <xdr:row>1</xdr:row>
      <xdr:rowOff>80010</xdr:rowOff>
    </xdr:from>
    <xdr:to>
      <xdr:col>2</xdr:col>
      <xdr:colOff>674125</xdr:colOff>
      <xdr:row>4</xdr:row>
      <xdr:rowOff>102780</xdr:rowOff>
    </xdr:to>
    <xdr:pic>
      <xdr:nvPicPr>
        <xdr:cNvPr id="22" name="Afbeelding 21">
          <a:hlinkClick xmlns:r="http://schemas.openxmlformats.org/officeDocument/2006/relationships" r:id="rId1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3860" y="80010"/>
          <a:ext cx="567445" cy="720000"/>
        </a:xfrm>
        <a:prstGeom prst="rect">
          <a:avLst/>
        </a:prstGeom>
        <a:solidFill>
          <a:schemeClr val="bg1"/>
        </a:solidFill>
        <a:ln w="1270">
          <a:solidFill>
            <a:schemeClr val="tx1"/>
          </a:solidFill>
        </a:ln>
        <a:effectLst>
          <a:outerShdw blurRad="50800" dist="38100" dir="2700000" algn="tl" rotWithShape="0">
            <a:prstClr val="black">
              <a:alpha val="40000"/>
            </a:prstClr>
          </a:outerShdw>
        </a:effectLst>
      </xdr:spPr>
    </xdr:pic>
    <xdr:clientData/>
  </xdr:twoCellAnchor>
  <xdr:twoCellAnchor editAs="oneCell">
    <xdr:from>
      <xdr:col>2</xdr:col>
      <xdr:colOff>179070</xdr:colOff>
      <xdr:row>37</xdr:row>
      <xdr:rowOff>15241</xdr:rowOff>
    </xdr:from>
    <xdr:to>
      <xdr:col>7</xdr:col>
      <xdr:colOff>49530</xdr:colOff>
      <xdr:row>51</xdr:row>
      <xdr:rowOff>49530</xdr:rowOff>
    </xdr:to>
    <xdr:pic>
      <xdr:nvPicPr>
        <xdr:cNvPr id="23" name="Afbeelding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76250" y="5996941"/>
          <a:ext cx="3284220" cy="2537459"/>
        </a:xfrm>
        <a:prstGeom prst="rect">
          <a:avLst/>
        </a:prstGeom>
        <a:ln w="3175">
          <a:solidFill>
            <a:schemeClr val="tx1"/>
          </a:solidFill>
        </a:ln>
        <a:effectLst/>
      </xdr:spPr>
    </xdr:pic>
    <xdr:clientData/>
  </xdr:twoCellAnchor>
  <xdr:twoCellAnchor>
    <xdr:from>
      <xdr:col>22</xdr:col>
      <xdr:colOff>392430</xdr:colOff>
      <xdr:row>52</xdr:row>
      <xdr:rowOff>38100</xdr:rowOff>
    </xdr:from>
    <xdr:to>
      <xdr:col>28</xdr:col>
      <xdr:colOff>64770</xdr:colOff>
      <xdr:row>54</xdr:row>
      <xdr:rowOff>102870</xdr:rowOff>
    </xdr:to>
    <xdr:sp macro="" textlink="">
      <xdr:nvSpPr>
        <xdr:cNvPr id="24" name="Rechthoek 23">
          <a:hlinkClick xmlns:r="http://schemas.openxmlformats.org/officeDocument/2006/relationships" r:id="rId3"/>
          <a:extLst>
            <a:ext uri="{FF2B5EF4-FFF2-40B4-BE49-F238E27FC236}">
              <a16:creationId xmlns:a16="http://schemas.microsoft.com/office/drawing/2014/main" id="{00000000-0008-0000-0100-000018000000}"/>
            </a:ext>
          </a:extLst>
        </xdr:cNvPr>
        <xdr:cNvSpPr/>
      </xdr:nvSpPr>
      <xdr:spPr>
        <a:xfrm>
          <a:off x="11441430" y="8644890"/>
          <a:ext cx="2407920" cy="426720"/>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accent5"/>
              </a:solidFill>
              <a:latin typeface="+mn-lt"/>
              <a:ea typeface="+mn-ea"/>
              <a:cs typeface="+mn-cs"/>
            </a:rPr>
            <a:t>Handleiding </a:t>
          </a:r>
          <a:r>
            <a:rPr lang="nl-NL" sz="1600" b="0">
              <a:solidFill>
                <a:schemeClr val="tx1"/>
              </a:solidFill>
              <a:latin typeface="+mn-lt"/>
              <a:ea typeface="+mn-ea"/>
              <a:cs typeface="+mn-cs"/>
            </a:rPr>
            <a:t>&amp;</a:t>
          </a:r>
          <a:r>
            <a:rPr lang="nl-NL" sz="1600" b="1">
              <a:solidFill>
                <a:schemeClr val="tx1"/>
              </a:solidFill>
              <a:latin typeface="+mn-lt"/>
              <a:ea typeface="+mn-ea"/>
              <a:cs typeface="+mn-cs"/>
            </a:rPr>
            <a:t> </a:t>
          </a:r>
          <a:r>
            <a:rPr lang="nl-NL" sz="1600" b="1">
              <a:solidFill>
                <a:schemeClr val="accent5"/>
              </a:solidFill>
              <a:latin typeface="+mn-lt"/>
              <a:ea typeface="+mn-ea"/>
              <a:cs typeface="+mn-cs"/>
            </a:rPr>
            <a:t>uitleg</a:t>
          </a:r>
        </a:p>
      </xdr:txBody>
    </xdr:sp>
    <xdr:clientData/>
  </xdr:twoCellAnchor>
  <xdr:twoCellAnchor>
    <xdr:from>
      <xdr:col>2</xdr:col>
      <xdr:colOff>144780</xdr:colOff>
      <xdr:row>53</xdr:row>
      <xdr:rowOff>80010</xdr:rowOff>
    </xdr:from>
    <xdr:to>
      <xdr:col>3</xdr:col>
      <xdr:colOff>57150</xdr:colOff>
      <xdr:row>54</xdr:row>
      <xdr:rowOff>148590</xdr:rowOff>
    </xdr:to>
    <xdr:sp macro="" textlink="">
      <xdr:nvSpPr>
        <xdr:cNvPr id="29" name="Rechthoek 28">
          <a:hlinkClick xmlns:r="http://schemas.openxmlformats.org/officeDocument/2006/relationships" r:id="rId14"/>
          <a:extLst>
            <a:ext uri="{FF2B5EF4-FFF2-40B4-BE49-F238E27FC236}">
              <a16:creationId xmlns:a16="http://schemas.microsoft.com/office/drawing/2014/main" id="{00000000-0008-0000-0100-00001D000000}"/>
            </a:ext>
          </a:extLst>
        </xdr:cNvPr>
        <xdr:cNvSpPr/>
      </xdr:nvSpPr>
      <xdr:spPr>
        <a:xfrm>
          <a:off x="441960" y="8884920"/>
          <a:ext cx="1447800" cy="24765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100" b="0">
              <a:solidFill>
                <a:schemeClr val="accent5"/>
              </a:solidFill>
              <a:latin typeface="+mn-lt"/>
              <a:ea typeface="+mn-ea"/>
              <a:cs typeface="+mn-cs"/>
            </a:rPr>
            <a:t>Specialist raadplegen</a:t>
          </a:r>
        </a:p>
      </xdr:txBody>
    </xdr:sp>
    <xdr:clientData/>
  </xdr:twoCellAnchor>
  <xdr:twoCellAnchor>
    <xdr:from>
      <xdr:col>4</xdr:col>
      <xdr:colOff>194310</xdr:colOff>
      <xdr:row>53</xdr:row>
      <xdr:rowOff>80010</xdr:rowOff>
    </xdr:from>
    <xdr:to>
      <xdr:col>7</xdr:col>
      <xdr:colOff>118110</xdr:colOff>
      <xdr:row>54</xdr:row>
      <xdr:rowOff>148590</xdr:rowOff>
    </xdr:to>
    <xdr:sp macro="" textlink="">
      <xdr:nvSpPr>
        <xdr:cNvPr id="32" name="Rechthoek 31">
          <a:hlinkClick xmlns:r="http://schemas.openxmlformats.org/officeDocument/2006/relationships" r:id="rId15"/>
          <a:extLst>
            <a:ext uri="{FF2B5EF4-FFF2-40B4-BE49-F238E27FC236}">
              <a16:creationId xmlns:a16="http://schemas.microsoft.com/office/drawing/2014/main" id="{00000000-0008-0000-0100-000020000000}"/>
            </a:ext>
          </a:extLst>
        </xdr:cNvPr>
        <xdr:cNvSpPr/>
      </xdr:nvSpPr>
      <xdr:spPr>
        <a:xfrm>
          <a:off x="2171700" y="8884920"/>
          <a:ext cx="1657350" cy="24765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100" b="0">
              <a:solidFill>
                <a:schemeClr val="accent5"/>
              </a:solidFill>
              <a:latin typeface="+mn-lt"/>
              <a:ea typeface="+mn-ea"/>
              <a:cs typeface="+mn-cs"/>
            </a:rPr>
            <a:t>Opleidingen arbeidsrecht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140971</xdr:colOff>
      <xdr:row>1</xdr:row>
      <xdr:rowOff>7620</xdr:rowOff>
    </xdr:from>
    <xdr:to>
      <xdr:col>4</xdr:col>
      <xdr:colOff>265437</xdr:colOff>
      <xdr:row>4</xdr:row>
      <xdr:rowOff>41911</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1" y="190500"/>
          <a:ext cx="2044706" cy="727711"/>
        </a:xfrm>
        <a:prstGeom prst="rect">
          <a:avLst/>
        </a:prstGeom>
        <a:solidFill>
          <a:srgbClr val="0062C4"/>
        </a:solidFill>
        <a:ln w="1270">
          <a:solidFill>
            <a:schemeClr val="tx1"/>
          </a:solidFill>
        </a:ln>
        <a:effectLst>
          <a:outerShdw blurRad="50800" dist="38100" dir="2700000" algn="tl" rotWithShape="0">
            <a:prstClr val="black">
              <a:alpha val="40000"/>
            </a:prstClr>
          </a:outerShdw>
        </a:effectLst>
      </xdr:spPr>
    </xdr:pic>
    <xdr:clientData/>
  </xdr:twoCellAnchor>
  <xdr:twoCellAnchor editAs="oneCell">
    <xdr:from>
      <xdr:col>0</xdr:col>
      <xdr:colOff>167640</xdr:colOff>
      <xdr:row>1</xdr:row>
      <xdr:rowOff>7620</xdr:rowOff>
    </xdr:from>
    <xdr:to>
      <xdr:col>1</xdr:col>
      <xdr:colOff>95005</xdr:colOff>
      <xdr:row>4</xdr:row>
      <xdr:rowOff>34200</xdr:rowOff>
    </xdr:to>
    <xdr:pic>
      <xdr:nvPicPr>
        <xdr:cNvPr id="3" name="Afbeelding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640" y="190500"/>
          <a:ext cx="567445" cy="720000"/>
        </a:xfrm>
        <a:prstGeom prst="rect">
          <a:avLst/>
        </a:prstGeom>
        <a:solidFill>
          <a:schemeClr val="bg1"/>
        </a:solidFill>
        <a:ln w="1270">
          <a:solidFill>
            <a:schemeClr val="tx1"/>
          </a:solidFill>
        </a:ln>
        <a:effectLst>
          <a:outerShdw blurRad="50800" dist="38100" dir="2700000" algn="tl" rotWithShape="0">
            <a:prstClr val="black">
              <a:alpha val="40000"/>
            </a:prstClr>
          </a:outerShdw>
        </a:effectLst>
      </xdr:spPr>
    </xdr:pic>
    <xdr:clientData/>
  </xdr:twoCellAnchor>
  <xdr:twoCellAnchor editAs="oneCell">
    <xdr:from>
      <xdr:col>4</xdr:col>
      <xdr:colOff>297180</xdr:colOff>
      <xdr:row>7</xdr:row>
      <xdr:rowOff>102870</xdr:rowOff>
    </xdr:from>
    <xdr:to>
      <xdr:col>19</xdr:col>
      <xdr:colOff>71116</xdr:colOff>
      <xdr:row>16</xdr:row>
      <xdr:rowOff>168961</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00" y="1821180"/>
          <a:ext cx="7755886" cy="1822501"/>
        </a:xfrm>
        <a:prstGeom prst="rect">
          <a:avLst/>
        </a:prstGeom>
      </xdr:spPr>
    </xdr:pic>
    <xdr:clientData/>
  </xdr:twoCellAnchor>
  <xdr:twoCellAnchor editAs="oneCell">
    <xdr:from>
      <xdr:col>10</xdr:col>
      <xdr:colOff>297180</xdr:colOff>
      <xdr:row>4</xdr:row>
      <xdr:rowOff>29242</xdr:rowOff>
    </xdr:from>
    <xdr:to>
      <xdr:col>13</xdr:col>
      <xdr:colOff>7620</xdr:colOff>
      <xdr:row>7</xdr:row>
      <xdr:rowOff>60961</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35980" y="905542"/>
          <a:ext cx="1630680" cy="580359"/>
        </a:xfrm>
        <a:prstGeom prst="rect">
          <a:avLst/>
        </a:prstGeom>
        <a:solidFill>
          <a:srgbClr val="0062C4"/>
        </a:solidFill>
        <a:effectLst/>
      </xdr:spPr>
    </xdr:pic>
    <xdr:clientData/>
  </xdr:twoCellAnchor>
  <xdr:twoCellAnchor>
    <xdr:from>
      <xdr:col>9</xdr:col>
      <xdr:colOff>198120</xdr:colOff>
      <xdr:row>17</xdr:row>
      <xdr:rowOff>133350</xdr:rowOff>
    </xdr:from>
    <xdr:to>
      <xdr:col>14</xdr:col>
      <xdr:colOff>76200</xdr:colOff>
      <xdr:row>20</xdr:row>
      <xdr:rowOff>91440</xdr:rowOff>
    </xdr:to>
    <xdr:sp macro="" textlink="">
      <xdr:nvSpPr>
        <xdr:cNvPr id="6" name="Rechthoek 5">
          <a:hlinkClick xmlns:r="http://schemas.openxmlformats.org/officeDocument/2006/relationships" r:id="rId6"/>
          <a:extLst>
            <a:ext uri="{FF2B5EF4-FFF2-40B4-BE49-F238E27FC236}">
              <a16:creationId xmlns:a16="http://schemas.microsoft.com/office/drawing/2014/main" id="{00000000-0008-0000-0200-000006000000}"/>
            </a:ext>
          </a:extLst>
        </xdr:cNvPr>
        <xdr:cNvSpPr/>
      </xdr:nvSpPr>
      <xdr:spPr>
        <a:xfrm>
          <a:off x="5551170" y="3497580"/>
          <a:ext cx="2407920" cy="50673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lt1"/>
              </a:solidFill>
              <a:latin typeface="+mn-lt"/>
              <a:ea typeface="+mn-ea"/>
              <a:cs typeface="+mn-cs"/>
            </a:rPr>
            <a:t>Start de toolbox   &gt; </a:t>
          </a:r>
        </a:p>
      </xdr:txBody>
    </xdr:sp>
    <xdr:clientData/>
  </xdr:twoCellAnchor>
  <xdr:twoCellAnchor editAs="oneCell">
    <xdr:from>
      <xdr:col>4</xdr:col>
      <xdr:colOff>571676</xdr:colOff>
      <xdr:row>46</xdr:row>
      <xdr:rowOff>152400</xdr:rowOff>
    </xdr:from>
    <xdr:to>
      <xdr:col>9</xdr:col>
      <xdr:colOff>117553</xdr:colOff>
      <xdr:row>58</xdr:row>
      <xdr:rowOff>49530</xdr:rowOff>
    </xdr:to>
    <xdr:pic>
      <xdr:nvPicPr>
        <xdr:cNvPr id="8"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131996" y="8858250"/>
          <a:ext cx="2338607" cy="1863090"/>
        </a:xfrm>
        <a:prstGeom prst="rect">
          <a:avLst/>
        </a:prstGeom>
      </xdr:spPr>
    </xdr:pic>
    <xdr:clientData/>
  </xdr:twoCellAnchor>
  <xdr:twoCellAnchor>
    <xdr:from>
      <xdr:col>14</xdr:col>
      <xdr:colOff>262890</xdr:colOff>
      <xdr:row>79</xdr:row>
      <xdr:rowOff>125730</xdr:rowOff>
    </xdr:from>
    <xdr:to>
      <xdr:col>20</xdr:col>
      <xdr:colOff>95250</xdr:colOff>
      <xdr:row>82</xdr:row>
      <xdr:rowOff>57150</xdr:rowOff>
    </xdr:to>
    <xdr:sp macro="" textlink="">
      <xdr:nvSpPr>
        <xdr:cNvPr id="9" name="Rechthoek 8">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8145780" y="15053310"/>
          <a:ext cx="2884170" cy="579120"/>
        </a:xfrm>
        <a:prstGeom prst="rect">
          <a:avLst/>
        </a:prstGeom>
        <a:solidFill>
          <a:srgbClr val="EB6307"/>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300" b="0">
              <a:solidFill>
                <a:schemeClr val="lt1"/>
              </a:solidFill>
              <a:latin typeface="+mn-lt"/>
              <a:ea typeface="+mn-ea"/>
              <a:cs typeface="+mn-cs"/>
            </a:rPr>
            <a:t>Gratis spreekuur</a:t>
          </a:r>
          <a:r>
            <a:rPr lang="nl-NL" sz="1300" b="0" baseline="0">
              <a:solidFill>
                <a:schemeClr val="lt1"/>
              </a:solidFill>
              <a:latin typeface="+mn-lt"/>
              <a:ea typeface="+mn-ea"/>
              <a:cs typeface="+mn-cs"/>
            </a:rPr>
            <a:t> met een specialist  </a:t>
          </a:r>
          <a:r>
            <a:rPr lang="nl-NL" sz="1300" b="0">
              <a:solidFill>
                <a:schemeClr val="lt1"/>
              </a:solidFill>
              <a:latin typeface="+mn-lt"/>
              <a:ea typeface="+mn-ea"/>
              <a:cs typeface="+mn-cs"/>
            </a:rPr>
            <a:t>&gt; </a:t>
          </a:r>
        </a:p>
      </xdr:txBody>
    </xdr:sp>
    <xdr:clientData/>
  </xdr:twoCellAnchor>
  <xdr:twoCellAnchor>
    <xdr:from>
      <xdr:col>4</xdr:col>
      <xdr:colOff>601980</xdr:colOff>
      <xdr:row>89</xdr:row>
      <xdr:rowOff>19050</xdr:rowOff>
    </xdr:from>
    <xdr:to>
      <xdr:col>20</xdr:col>
      <xdr:colOff>95250</xdr:colOff>
      <xdr:row>92</xdr:row>
      <xdr:rowOff>102870</xdr:rowOff>
    </xdr:to>
    <xdr:sp macro="" textlink="">
      <xdr:nvSpPr>
        <xdr:cNvPr id="12" name="Rechthoek 11">
          <a:extLst>
            <a:ext uri="{FF2B5EF4-FFF2-40B4-BE49-F238E27FC236}">
              <a16:creationId xmlns:a16="http://schemas.microsoft.com/office/drawing/2014/main" id="{00000000-0008-0000-0200-00000C000000}"/>
            </a:ext>
          </a:extLst>
        </xdr:cNvPr>
        <xdr:cNvSpPr/>
      </xdr:nvSpPr>
      <xdr:spPr>
        <a:xfrm>
          <a:off x="3162300" y="16874490"/>
          <a:ext cx="7867650" cy="63246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2500" b="0" i="0">
              <a:solidFill>
                <a:schemeClr val="lt1"/>
              </a:solidFill>
              <a:effectLst/>
              <a:latin typeface="+mn-lt"/>
              <a:ea typeface="+mn-ea"/>
              <a:cs typeface="+mn-cs"/>
            </a:rPr>
            <a:t>Handleiding voor de Toolbox</a:t>
          </a:r>
          <a:endParaRPr lang="nl-NL" sz="2500" b="1">
            <a:solidFill>
              <a:schemeClr val="lt1"/>
            </a:solidFill>
            <a:latin typeface="+mn-lt"/>
            <a:ea typeface="+mn-ea"/>
            <a:cs typeface="+mn-cs"/>
          </a:endParaRPr>
        </a:p>
      </xdr:txBody>
    </xdr:sp>
    <xdr:clientData/>
  </xdr:twoCellAnchor>
  <xdr:twoCellAnchor>
    <xdr:from>
      <xdr:col>15</xdr:col>
      <xdr:colOff>392430</xdr:colOff>
      <xdr:row>93</xdr:row>
      <xdr:rowOff>152400</xdr:rowOff>
    </xdr:from>
    <xdr:to>
      <xdr:col>20</xdr:col>
      <xdr:colOff>95250</xdr:colOff>
      <xdr:row>96</xdr:row>
      <xdr:rowOff>110490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200-00000D000000}"/>
            </a:ext>
          </a:extLst>
        </xdr:cNvPr>
        <xdr:cNvSpPr/>
      </xdr:nvSpPr>
      <xdr:spPr>
        <a:xfrm>
          <a:off x="8622030" y="17739360"/>
          <a:ext cx="2407920" cy="50673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lt1"/>
              </a:solidFill>
              <a:latin typeface="+mn-lt"/>
              <a:ea typeface="+mn-ea"/>
              <a:cs typeface="+mn-cs"/>
            </a:rPr>
            <a:t>Start de toolbox   &gt; </a:t>
          </a:r>
        </a:p>
      </xdr:txBody>
    </xdr:sp>
    <xdr:clientData/>
  </xdr:twoCellAnchor>
  <xdr:twoCellAnchor editAs="oneCell">
    <xdr:from>
      <xdr:col>7</xdr:col>
      <xdr:colOff>605790</xdr:colOff>
      <xdr:row>132</xdr:row>
      <xdr:rowOff>134894</xdr:rowOff>
    </xdr:from>
    <xdr:to>
      <xdr:col>17</xdr:col>
      <xdr:colOff>45720</xdr:colOff>
      <xdr:row>153</xdr:row>
      <xdr:rowOff>85726</xdr:rowOff>
    </xdr:to>
    <xdr:pic>
      <xdr:nvPicPr>
        <xdr:cNvPr id="15" name="Afbeelding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086350" y="24088364"/>
          <a:ext cx="4469130" cy="3791312"/>
        </a:xfrm>
        <a:prstGeom prst="rect">
          <a:avLst/>
        </a:prstGeom>
        <a:effectLst/>
      </xdr:spPr>
    </xdr:pic>
    <xdr:clientData/>
  </xdr:twoCellAnchor>
  <xdr:twoCellAnchor>
    <xdr:from>
      <xdr:col>7</xdr:col>
      <xdr:colOff>605790</xdr:colOff>
      <xdr:row>156</xdr:row>
      <xdr:rowOff>0</xdr:rowOff>
    </xdr:from>
    <xdr:to>
      <xdr:col>12</xdr:col>
      <xdr:colOff>293370</xdr:colOff>
      <xdr:row>157</xdr:row>
      <xdr:rowOff>53340</xdr:rowOff>
    </xdr:to>
    <xdr:sp macro="" textlink="">
      <xdr:nvSpPr>
        <xdr:cNvPr id="16" name="Rechthoek 15">
          <a:hlinkClick xmlns:r="http://schemas.openxmlformats.org/officeDocument/2006/relationships" r:id="rId8"/>
          <a:extLst>
            <a:ext uri="{FF2B5EF4-FFF2-40B4-BE49-F238E27FC236}">
              <a16:creationId xmlns:a16="http://schemas.microsoft.com/office/drawing/2014/main" id="{00000000-0008-0000-0200-000010000000}"/>
            </a:ext>
          </a:extLst>
        </xdr:cNvPr>
        <xdr:cNvSpPr/>
      </xdr:nvSpPr>
      <xdr:spPr>
        <a:xfrm>
          <a:off x="5086350" y="27851100"/>
          <a:ext cx="2125980" cy="266700"/>
        </a:xfrm>
        <a:prstGeom prst="rect">
          <a:avLst/>
        </a:prstGeom>
        <a:solidFill>
          <a:schemeClr val="bg1"/>
        </a:solidFill>
        <a:ln w="3175">
          <a:solidFill>
            <a:schemeClr val="tx1"/>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300" b="0">
              <a:solidFill>
                <a:schemeClr val="accent5"/>
              </a:solidFill>
              <a:latin typeface="+mn-lt"/>
              <a:ea typeface="+mn-ea"/>
              <a:cs typeface="+mn-cs"/>
            </a:rPr>
            <a:t>Specialist raadplegen</a:t>
          </a:r>
        </a:p>
      </xdr:txBody>
    </xdr:sp>
    <xdr:clientData/>
  </xdr:twoCellAnchor>
  <xdr:twoCellAnchor>
    <xdr:from>
      <xdr:col>12</xdr:col>
      <xdr:colOff>426720</xdr:colOff>
      <xdr:row>156</xdr:row>
      <xdr:rowOff>0</xdr:rowOff>
    </xdr:from>
    <xdr:to>
      <xdr:col>17</xdr:col>
      <xdr:colOff>45720</xdr:colOff>
      <xdr:row>157</xdr:row>
      <xdr:rowOff>53340</xdr:rowOff>
    </xdr:to>
    <xdr:sp macro="" textlink="">
      <xdr:nvSpPr>
        <xdr:cNvPr id="17" name="Rechthoek 16">
          <a:hlinkClick xmlns:r="http://schemas.openxmlformats.org/officeDocument/2006/relationships" r:id="rId10"/>
          <a:extLst>
            <a:ext uri="{FF2B5EF4-FFF2-40B4-BE49-F238E27FC236}">
              <a16:creationId xmlns:a16="http://schemas.microsoft.com/office/drawing/2014/main" id="{00000000-0008-0000-0200-000011000000}"/>
            </a:ext>
          </a:extLst>
        </xdr:cNvPr>
        <xdr:cNvSpPr/>
      </xdr:nvSpPr>
      <xdr:spPr>
        <a:xfrm>
          <a:off x="7345680" y="27851100"/>
          <a:ext cx="2209800" cy="26670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300" b="0">
              <a:solidFill>
                <a:schemeClr val="accent5"/>
              </a:solidFill>
              <a:latin typeface="+mn-lt"/>
              <a:ea typeface="+mn-ea"/>
              <a:cs typeface="+mn-cs"/>
            </a:rPr>
            <a:t>Opleidingen arbeidsrecht</a:t>
          </a:r>
        </a:p>
      </xdr:txBody>
    </xdr:sp>
    <xdr:clientData/>
  </xdr:twoCellAnchor>
  <xdr:twoCellAnchor editAs="oneCell">
    <xdr:from>
      <xdr:col>11</xdr:col>
      <xdr:colOff>41910</xdr:colOff>
      <xdr:row>93</xdr:row>
      <xdr:rowOff>171450</xdr:rowOff>
    </xdr:from>
    <xdr:to>
      <xdr:col>15</xdr:col>
      <xdr:colOff>55003</xdr:colOff>
      <xdr:row>97</xdr:row>
      <xdr:rowOff>112395</xdr:rowOff>
    </xdr:to>
    <xdr:pic>
      <xdr:nvPicPr>
        <xdr:cNvPr id="10" name="Afbeelding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320790" y="17514570"/>
          <a:ext cx="1963813" cy="672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2179320</xdr:colOff>
          <xdr:row>3</xdr:row>
          <xdr:rowOff>0</xdr:rowOff>
        </xdr:from>
        <xdr:to>
          <xdr:col>4</xdr:col>
          <xdr:colOff>864870</xdr:colOff>
          <xdr:row>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2186940</xdr:colOff>
          <xdr:row>3</xdr:row>
          <xdr:rowOff>160020</xdr:rowOff>
        </xdr:from>
        <xdr:to>
          <xdr:col>4</xdr:col>
          <xdr:colOff>864870</xdr:colOff>
          <xdr:row>5</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2179320</xdr:colOff>
          <xdr:row>39</xdr:row>
          <xdr:rowOff>129540</xdr:rowOff>
        </xdr:from>
        <xdr:to>
          <xdr:col>5</xdr:col>
          <xdr:colOff>240030</xdr:colOff>
          <xdr:row>40</xdr:row>
          <xdr:rowOff>171450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4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2179320</xdr:colOff>
          <xdr:row>40</xdr:row>
          <xdr:rowOff>163830</xdr:rowOff>
        </xdr:from>
        <xdr:to>
          <xdr:col>5</xdr:col>
          <xdr:colOff>240030</xdr:colOff>
          <xdr:row>42</xdr:row>
          <xdr:rowOff>7620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4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22</xdr:col>
      <xdr:colOff>41910</xdr:colOff>
      <xdr:row>71</xdr:row>
      <xdr:rowOff>26670</xdr:rowOff>
    </xdr:from>
    <xdr:to>
      <xdr:col>25</xdr:col>
      <xdr:colOff>563880</xdr:colOff>
      <xdr:row>73</xdr:row>
      <xdr:rowOff>22860</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049000" y="12584430"/>
          <a:ext cx="1927860" cy="369570"/>
        </a:xfrm>
        <a:prstGeom prst="rect">
          <a:avLst/>
        </a:prstGeom>
        <a:solidFill>
          <a:srgbClr val="F268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a:t>Bestellen</a:t>
          </a:r>
        </a:p>
      </xdr:txBody>
    </xdr:sp>
    <xdr:clientData/>
  </xdr:twoCellAnchor>
  <xdr:twoCellAnchor>
    <xdr:from>
      <xdr:col>8</xdr:col>
      <xdr:colOff>0</xdr:colOff>
      <xdr:row>1</xdr:row>
      <xdr:rowOff>26670</xdr:rowOff>
    </xdr:from>
    <xdr:to>
      <xdr:col>19</xdr:col>
      <xdr:colOff>514350</xdr:colOff>
      <xdr:row>2</xdr:row>
      <xdr:rowOff>499800</xdr:rowOff>
    </xdr:to>
    <xdr:sp macro="" textlink="">
      <xdr:nvSpPr>
        <xdr:cNvPr id="25" name="Rechthoek 24">
          <a:hlinkClick xmlns:r="http://schemas.openxmlformats.org/officeDocument/2006/relationships" r:id="rId2"/>
          <a:extLst>
            <a:ext uri="{FF2B5EF4-FFF2-40B4-BE49-F238E27FC236}">
              <a16:creationId xmlns:a16="http://schemas.microsoft.com/office/drawing/2014/main" id="{00000000-0008-0000-0400-000019000000}"/>
            </a:ext>
          </a:extLst>
        </xdr:cNvPr>
        <xdr:cNvSpPr/>
      </xdr:nvSpPr>
      <xdr:spPr>
        <a:xfrm>
          <a:off x="3204210" y="99060"/>
          <a:ext cx="6880860" cy="57600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Toolbox UWV-ontslag  | </a:t>
          </a:r>
          <a:r>
            <a:rPr lang="nl-NL" sz="1500" b="0"/>
            <a:t>Maak meer kans met minder kosten!</a:t>
          </a:r>
        </a:p>
      </xdr:txBody>
    </xdr:sp>
    <xdr:clientData/>
  </xdr:twoCellAnchor>
  <xdr:twoCellAnchor editAs="oneCell">
    <xdr:from>
      <xdr:col>2</xdr:col>
      <xdr:colOff>220981</xdr:colOff>
      <xdr:row>1</xdr:row>
      <xdr:rowOff>26670</xdr:rowOff>
    </xdr:from>
    <xdr:to>
      <xdr:col>6</xdr:col>
      <xdr:colOff>693355</xdr:colOff>
      <xdr:row>3</xdr:row>
      <xdr:rowOff>76110</xdr:rowOff>
    </xdr:to>
    <xdr:pic>
      <xdr:nvPicPr>
        <xdr:cNvPr id="19" name="Afbeelding 18">
          <a:hlinkClick xmlns:r="http://schemas.openxmlformats.org/officeDocument/2006/relationships" r:id="rId3"/>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9141" y="99060"/>
          <a:ext cx="2023044" cy="720000"/>
        </a:xfrm>
        <a:prstGeom prst="rect">
          <a:avLst/>
        </a:prstGeom>
        <a:solidFill>
          <a:schemeClr val="bg1"/>
        </a:solidFill>
        <a:ln w="1270">
          <a:solidFill>
            <a:schemeClr val="tx1"/>
          </a:solidFill>
        </a:ln>
        <a:effectLst>
          <a:outerShdw blurRad="50800" dist="38100" dir="2700000" algn="tl" rotWithShape="0">
            <a:prstClr val="black">
              <a:alpha val="40000"/>
            </a:prstClr>
          </a:outerShdw>
        </a:effectLst>
      </xdr:spPr>
    </xdr:pic>
    <xdr:clientData/>
  </xdr:twoCellAnchor>
  <xdr:twoCellAnchor editAs="oneCell">
    <xdr:from>
      <xdr:col>0</xdr:col>
      <xdr:colOff>129704</xdr:colOff>
      <xdr:row>1</xdr:row>
      <xdr:rowOff>26670</xdr:rowOff>
    </xdr:from>
    <xdr:to>
      <xdr:col>2</xdr:col>
      <xdr:colOff>178989</xdr:colOff>
      <xdr:row>3</xdr:row>
      <xdr:rowOff>76110</xdr:rowOff>
    </xdr:to>
    <xdr:pic>
      <xdr:nvPicPr>
        <xdr:cNvPr id="20" name="Afbeelding 19">
          <a:hlinkClick xmlns:r="http://schemas.openxmlformats.org/officeDocument/2006/relationships" r:id="rId5"/>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704" y="99060"/>
          <a:ext cx="567445" cy="720000"/>
        </a:xfrm>
        <a:prstGeom prst="rect">
          <a:avLst/>
        </a:prstGeom>
        <a:solidFill>
          <a:schemeClr val="bg1"/>
        </a:solidFill>
        <a:ln w="1270">
          <a:solidFill>
            <a:schemeClr val="tx1"/>
          </a:solidFill>
        </a:ln>
        <a:effectLst>
          <a:outerShdw blurRad="50800" dist="38100" dir="2700000" algn="tl" rotWithShape="0">
            <a:prstClr val="black">
              <a:alpha val="40000"/>
            </a:prstClr>
          </a:outerShdw>
        </a:effectLst>
      </xdr:spPr>
    </xdr:pic>
    <xdr:clientData/>
  </xdr:twoCellAnchor>
  <xdr:twoCellAnchor>
    <xdr:from>
      <xdr:col>21</xdr:col>
      <xdr:colOff>224790</xdr:colOff>
      <xdr:row>12</xdr:row>
      <xdr:rowOff>129540</xdr:rowOff>
    </xdr:from>
    <xdr:to>
      <xdr:col>25</xdr:col>
      <xdr:colOff>594360</xdr:colOff>
      <xdr:row>14</xdr:row>
      <xdr:rowOff>190500</xdr:rowOff>
    </xdr:to>
    <xdr:sp macro="" textlink="">
      <xdr:nvSpPr>
        <xdr:cNvPr id="26" name="Rechthoek 25">
          <a:hlinkClick xmlns:r="http://schemas.openxmlformats.org/officeDocument/2006/relationships" r:id="rId2"/>
          <a:extLst>
            <a:ext uri="{FF2B5EF4-FFF2-40B4-BE49-F238E27FC236}">
              <a16:creationId xmlns:a16="http://schemas.microsoft.com/office/drawing/2014/main" id="{00000000-0008-0000-0400-00001A000000}"/>
            </a:ext>
          </a:extLst>
        </xdr:cNvPr>
        <xdr:cNvSpPr/>
      </xdr:nvSpPr>
      <xdr:spPr>
        <a:xfrm>
          <a:off x="10877550" y="3002280"/>
          <a:ext cx="2129790" cy="50673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400" b="1">
              <a:solidFill>
                <a:schemeClr val="lt1"/>
              </a:solidFill>
              <a:latin typeface="+mn-lt"/>
              <a:ea typeface="+mn-ea"/>
              <a:cs typeface="+mn-cs"/>
            </a:rPr>
            <a:t>Bekijk de toolbox</a:t>
          </a:r>
        </a:p>
      </xdr:txBody>
    </xdr:sp>
    <xdr:clientData/>
  </xdr:twoCellAnchor>
  <xdr:twoCellAnchor>
    <xdr:from>
      <xdr:col>8</xdr:col>
      <xdr:colOff>15240</xdr:colOff>
      <xdr:row>1</xdr:row>
      <xdr:rowOff>26670</xdr:rowOff>
    </xdr:from>
    <xdr:to>
      <xdr:col>19</xdr:col>
      <xdr:colOff>529590</xdr:colOff>
      <xdr:row>2</xdr:row>
      <xdr:rowOff>499800</xdr:rowOff>
    </xdr:to>
    <xdr:sp macro="" textlink="">
      <xdr:nvSpPr>
        <xdr:cNvPr id="27" name="Rechthoek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3219450" y="99060"/>
          <a:ext cx="6880860" cy="57600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Toolbox UWV-ontslag  | </a:t>
          </a:r>
          <a:r>
            <a:rPr lang="nl-NL" sz="1500" b="0"/>
            <a:t>Maak meer kans met minder kosten!</a:t>
          </a:r>
        </a:p>
      </xdr:txBody>
    </xdr:sp>
    <xdr:clientData/>
  </xdr:twoCellAnchor>
  <xdr:twoCellAnchor>
    <xdr:from>
      <xdr:col>23</xdr:col>
      <xdr:colOff>60960</xdr:colOff>
      <xdr:row>1</xdr:row>
      <xdr:rowOff>26670</xdr:rowOff>
    </xdr:from>
    <xdr:to>
      <xdr:col>25</xdr:col>
      <xdr:colOff>594360</xdr:colOff>
      <xdr:row>2</xdr:row>
      <xdr:rowOff>224790</xdr:rowOff>
    </xdr:to>
    <xdr:sp macro="" textlink="">
      <xdr:nvSpPr>
        <xdr:cNvPr id="28" name="Rechthoek 27">
          <a:hlinkClick xmlns:r="http://schemas.openxmlformats.org/officeDocument/2006/relationships" r:id="rId1"/>
          <a:extLst>
            <a:ext uri="{FF2B5EF4-FFF2-40B4-BE49-F238E27FC236}">
              <a16:creationId xmlns:a16="http://schemas.microsoft.com/office/drawing/2014/main" id="{00000000-0008-0000-0400-00001C000000}"/>
            </a:ext>
          </a:extLst>
        </xdr:cNvPr>
        <xdr:cNvSpPr/>
      </xdr:nvSpPr>
      <xdr:spPr>
        <a:xfrm>
          <a:off x="11494770" y="99060"/>
          <a:ext cx="1318260" cy="300990"/>
        </a:xfrm>
        <a:prstGeom prst="rect">
          <a:avLst/>
        </a:prstGeom>
        <a:solidFill>
          <a:srgbClr val="F268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a:t>Info</a:t>
          </a:r>
          <a:r>
            <a:rPr lang="nl-NL" sz="1200" baseline="0"/>
            <a:t> &amp; bestellen</a:t>
          </a:r>
          <a:endParaRPr lang="nl-NL" sz="1200"/>
        </a:p>
      </xdr:txBody>
    </xdr:sp>
    <xdr:clientData/>
  </xdr:twoCellAnchor>
  <xdr:twoCellAnchor editAs="oneCell">
    <xdr:from>
      <xdr:col>10</xdr:col>
      <xdr:colOff>617220</xdr:colOff>
      <xdr:row>85</xdr:row>
      <xdr:rowOff>32024</xdr:rowOff>
    </xdr:from>
    <xdr:to>
      <xdr:col>19</xdr:col>
      <xdr:colOff>0</xdr:colOff>
      <xdr:row>105</xdr:row>
      <xdr:rowOff>104776</xdr:rowOff>
    </xdr:to>
    <xdr:pic>
      <xdr:nvPicPr>
        <xdr:cNvPr id="29" name="Afbeelding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96990" y="15424424"/>
          <a:ext cx="4469130" cy="3730352"/>
        </a:xfrm>
        <a:prstGeom prst="rect">
          <a:avLst/>
        </a:prstGeom>
        <a:effectLst/>
      </xdr:spPr>
    </xdr:pic>
    <xdr:clientData/>
  </xdr:twoCellAnchor>
  <xdr:twoCellAnchor>
    <xdr:from>
      <xdr:col>10</xdr:col>
      <xdr:colOff>617220</xdr:colOff>
      <xdr:row>108</xdr:row>
      <xdr:rowOff>0</xdr:rowOff>
    </xdr:from>
    <xdr:to>
      <xdr:col>14</xdr:col>
      <xdr:colOff>106680</xdr:colOff>
      <xdr:row>109</xdr:row>
      <xdr:rowOff>53340</xdr:rowOff>
    </xdr:to>
    <xdr:sp macro="" textlink="">
      <xdr:nvSpPr>
        <xdr:cNvPr id="30" name="Rechthoek 29">
          <a:hlinkClick xmlns:r="http://schemas.openxmlformats.org/officeDocument/2006/relationships" r:id="rId8"/>
          <a:extLst>
            <a:ext uri="{FF2B5EF4-FFF2-40B4-BE49-F238E27FC236}">
              <a16:creationId xmlns:a16="http://schemas.microsoft.com/office/drawing/2014/main" id="{00000000-0008-0000-0400-00001E000000}"/>
            </a:ext>
          </a:extLst>
        </xdr:cNvPr>
        <xdr:cNvSpPr/>
      </xdr:nvSpPr>
      <xdr:spPr>
        <a:xfrm>
          <a:off x="5101590" y="19571970"/>
          <a:ext cx="2099310" cy="236220"/>
        </a:xfrm>
        <a:prstGeom prst="rect">
          <a:avLst/>
        </a:prstGeom>
        <a:solidFill>
          <a:schemeClr val="bg1"/>
        </a:solidFill>
        <a:ln w="3175">
          <a:solidFill>
            <a:schemeClr val="tx1"/>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300" b="0">
              <a:solidFill>
                <a:schemeClr val="accent5"/>
              </a:solidFill>
              <a:latin typeface="+mn-lt"/>
              <a:ea typeface="+mn-ea"/>
              <a:cs typeface="+mn-cs"/>
            </a:rPr>
            <a:t>Specialist raadplegen</a:t>
          </a:r>
        </a:p>
      </xdr:txBody>
    </xdr:sp>
    <xdr:clientData/>
  </xdr:twoCellAnchor>
  <xdr:twoCellAnchor>
    <xdr:from>
      <xdr:col>14</xdr:col>
      <xdr:colOff>209550</xdr:colOff>
      <xdr:row>108</xdr:row>
      <xdr:rowOff>0</xdr:rowOff>
    </xdr:from>
    <xdr:to>
      <xdr:col>18</xdr:col>
      <xdr:colOff>601980</xdr:colOff>
      <xdr:row>109</xdr:row>
      <xdr:rowOff>53340</xdr:rowOff>
    </xdr:to>
    <xdr:sp macro="" textlink="">
      <xdr:nvSpPr>
        <xdr:cNvPr id="31" name="Rechthoek 30">
          <a:hlinkClick xmlns:r="http://schemas.openxmlformats.org/officeDocument/2006/relationships" r:id="rId9"/>
          <a:extLst>
            <a:ext uri="{FF2B5EF4-FFF2-40B4-BE49-F238E27FC236}">
              <a16:creationId xmlns:a16="http://schemas.microsoft.com/office/drawing/2014/main" id="{00000000-0008-0000-0400-00001F000000}"/>
            </a:ext>
          </a:extLst>
        </xdr:cNvPr>
        <xdr:cNvSpPr/>
      </xdr:nvSpPr>
      <xdr:spPr>
        <a:xfrm>
          <a:off x="7303770" y="19571970"/>
          <a:ext cx="2247900" cy="23622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300" b="0">
              <a:solidFill>
                <a:schemeClr val="accent5"/>
              </a:solidFill>
              <a:latin typeface="+mn-lt"/>
              <a:ea typeface="+mn-ea"/>
              <a:cs typeface="+mn-cs"/>
            </a:rPr>
            <a:t>Opleidingen arbeidsrecht</a:t>
          </a:r>
        </a:p>
      </xdr:txBody>
    </xdr:sp>
    <xdr:clientData/>
  </xdr:twoCellAnchor>
  <xdr:twoCellAnchor>
    <xdr:from>
      <xdr:col>8</xdr:col>
      <xdr:colOff>0</xdr:colOff>
      <xdr:row>48</xdr:row>
      <xdr:rowOff>0</xdr:rowOff>
    </xdr:from>
    <xdr:to>
      <xdr:col>22</xdr:col>
      <xdr:colOff>64770</xdr:colOff>
      <xdr:row>51</xdr:row>
      <xdr:rowOff>49530</xdr:rowOff>
    </xdr:to>
    <xdr:sp macro="" textlink="">
      <xdr:nvSpPr>
        <xdr:cNvPr id="32" name="Rechthoek 31">
          <a:extLst>
            <a:ext uri="{FF2B5EF4-FFF2-40B4-BE49-F238E27FC236}">
              <a16:creationId xmlns:a16="http://schemas.microsoft.com/office/drawing/2014/main" id="{00000000-0008-0000-0400-000020000000}"/>
            </a:ext>
          </a:extLst>
        </xdr:cNvPr>
        <xdr:cNvSpPr/>
      </xdr:nvSpPr>
      <xdr:spPr>
        <a:xfrm>
          <a:off x="3204210" y="7943850"/>
          <a:ext cx="7867650" cy="63246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2500" b="0" i="0">
              <a:solidFill>
                <a:schemeClr val="lt1"/>
              </a:solidFill>
              <a:effectLst/>
              <a:latin typeface="+mn-lt"/>
              <a:ea typeface="+mn-ea"/>
              <a:cs typeface="+mn-cs"/>
            </a:rPr>
            <a:t>Maak meer kans met minder kosten</a:t>
          </a:r>
          <a:endParaRPr lang="nl-NL" sz="2500" b="1">
            <a:solidFill>
              <a:schemeClr val="lt1"/>
            </a:solidFill>
            <a:latin typeface="+mn-lt"/>
            <a:ea typeface="+mn-ea"/>
            <a:cs typeface="+mn-cs"/>
          </a:endParaRPr>
        </a:p>
      </xdr:txBody>
    </xdr:sp>
    <xdr:clientData/>
  </xdr:twoCellAnchor>
  <xdr:twoCellAnchor editAs="oneCell">
    <xdr:from>
      <xdr:col>13</xdr:col>
      <xdr:colOff>49530</xdr:colOff>
      <xdr:row>6</xdr:row>
      <xdr:rowOff>190500</xdr:rowOff>
    </xdr:from>
    <xdr:to>
      <xdr:col>14</xdr:col>
      <xdr:colOff>331549</xdr:colOff>
      <xdr:row>20</xdr:row>
      <xdr:rowOff>80010</xdr:rowOff>
    </xdr:to>
    <xdr:pic>
      <xdr:nvPicPr>
        <xdr:cNvPr id="5" name="Afbeelding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522720" y="1847850"/>
          <a:ext cx="903049" cy="2796540"/>
        </a:xfrm>
        <a:prstGeom prst="rect">
          <a:avLst/>
        </a:prstGeom>
      </xdr:spPr>
    </xdr:pic>
    <xdr:clientData/>
  </xdr:twoCellAnchor>
  <xdr:twoCellAnchor editAs="oneCell">
    <xdr:from>
      <xdr:col>9</xdr:col>
      <xdr:colOff>110490</xdr:colOff>
      <xdr:row>29</xdr:row>
      <xdr:rowOff>87630</xdr:rowOff>
    </xdr:from>
    <xdr:to>
      <xdr:col>12</xdr:col>
      <xdr:colOff>134426</xdr:colOff>
      <xdr:row>34</xdr:row>
      <xdr:rowOff>133946</xdr:rowOff>
    </xdr:to>
    <xdr:pic>
      <xdr:nvPicPr>
        <xdr:cNvPr id="17" name="Afbeelding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flipH="1">
          <a:off x="3954780" y="6385560"/>
          <a:ext cx="1959416" cy="918806"/>
        </a:xfrm>
        <a:prstGeom prst="rect">
          <a:avLst/>
        </a:prstGeom>
      </xdr:spPr>
    </xdr:pic>
    <xdr:clientData/>
  </xdr:twoCellAnchor>
  <xdr:twoCellAnchor editAs="oneCell">
    <xdr:from>
      <xdr:col>4</xdr:col>
      <xdr:colOff>209438</xdr:colOff>
      <xdr:row>54</xdr:row>
      <xdr:rowOff>1684</xdr:rowOff>
    </xdr:from>
    <xdr:to>
      <xdr:col>6</xdr:col>
      <xdr:colOff>697230</xdr:colOff>
      <xdr:row>65</xdr:row>
      <xdr:rowOff>156211</xdr:rowOff>
    </xdr:to>
    <xdr:pic>
      <xdr:nvPicPr>
        <xdr:cNvPr id="8" name="Afbeelding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17208" y="9240934"/>
          <a:ext cx="1348852" cy="22233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461010</xdr:colOff>
      <xdr:row>7</xdr:row>
      <xdr:rowOff>95250</xdr:rowOff>
    </xdr:from>
    <xdr:to>
      <xdr:col>17</xdr:col>
      <xdr:colOff>335281</xdr:colOff>
      <xdr:row>10</xdr:row>
      <xdr:rowOff>148590</xdr:rowOff>
    </xdr:to>
    <xdr:sp macro="" textlink="">
      <xdr:nvSpPr>
        <xdr:cNvPr id="3" name="Pijl: vijfhoek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8141970" y="1436370"/>
          <a:ext cx="3074671" cy="601980"/>
        </a:xfrm>
        <a:prstGeom prst="homePlate">
          <a:avLst/>
        </a:prstGeom>
        <a:solidFill>
          <a:srgbClr val="0062C4"/>
        </a:solidFill>
        <a:effectLst>
          <a:outerShdw blurRad="50800" dist="63500" dir="8100000" algn="tr" rotWithShape="0">
            <a:prstClr val="black">
              <a:alpha val="19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Stappenplan</a:t>
          </a:r>
        </a:p>
        <a:p>
          <a:pPr algn="l"/>
          <a:endParaRPr lang="nl-NL" sz="2000"/>
        </a:p>
      </xdr:txBody>
    </xdr:sp>
    <xdr:clientData/>
  </xdr:twoCellAnchor>
  <xdr:twoCellAnchor>
    <xdr:from>
      <xdr:col>12</xdr:col>
      <xdr:colOff>461010</xdr:colOff>
      <xdr:row>11</xdr:row>
      <xdr:rowOff>120650</xdr:rowOff>
    </xdr:from>
    <xdr:to>
      <xdr:col>17</xdr:col>
      <xdr:colOff>335281</xdr:colOff>
      <xdr:row>14</xdr:row>
      <xdr:rowOff>173990</xdr:rowOff>
    </xdr:to>
    <xdr:sp macro="" textlink="">
      <xdr:nvSpPr>
        <xdr:cNvPr id="4" name="Pijl: vijfhoek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8141970" y="2193290"/>
          <a:ext cx="3074671" cy="601980"/>
        </a:xfrm>
        <a:prstGeom prst="homePlate">
          <a:avLst/>
        </a:prstGeom>
        <a:solidFill>
          <a:srgbClr val="0062C4"/>
        </a:solidFill>
        <a:effectLst>
          <a:outerShdw blurRad="50800" dist="63500" dir="8100000" algn="tr" rotWithShape="0">
            <a:prstClr val="black">
              <a:alpha val="19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Invoeren</a:t>
          </a:r>
          <a:r>
            <a:rPr lang="nl-NL" sz="2000" b="1" baseline="0"/>
            <a:t> gegevens</a:t>
          </a:r>
          <a:endParaRPr lang="nl-NL" sz="2000" b="1"/>
        </a:p>
        <a:p>
          <a:pPr algn="l"/>
          <a:endParaRPr lang="nl-NL" sz="2000"/>
        </a:p>
      </xdr:txBody>
    </xdr:sp>
    <xdr:clientData/>
  </xdr:twoCellAnchor>
  <xdr:twoCellAnchor>
    <xdr:from>
      <xdr:col>12</xdr:col>
      <xdr:colOff>461010</xdr:colOff>
      <xdr:row>15</xdr:row>
      <xdr:rowOff>146050</xdr:rowOff>
    </xdr:from>
    <xdr:to>
      <xdr:col>17</xdr:col>
      <xdr:colOff>335281</xdr:colOff>
      <xdr:row>19</xdr:row>
      <xdr:rowOff>16510</xdr:rowOff>
    </xdr:to>
    <xdr:sp macro="" textlink="">
      <xdr:nvSpPr>
        <xdr:cNvPr id="5" name="Pijl: vijfhoek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8141970" y="2950210"/>
          <a:ext cx="3074671" cy="601980"/>
        </a:xfrm>
        <a:prstGeom prst="homePlate">
          <a:avLst/>
        </a:prstGeom>
        <a:solidFill>
          <a:srgbClr val="0062C4"/>
        </a:solidFill>
        <a:effectLst>
          <a:outerShdw blurRad="50800" dist="63500" dir="8100000" algn="tr" rotWithShape="0">
            <a:prstClr val="black">
              <a:alpha val="19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Ontslagpagina</a:t>
          </a:r>
        </a:p>
        <a:p>
          <a:pPr algn="l"/>
          <a:endParaRPr lang="nl-NL" sz="2000"/>
        </a:p>
      </xdr:txBody>
    </xdr:sp>
    <xdr:clientData/>
  </xdr:twoCellAnchor>
  <xdr:twoCellAnchor>
    <xdr:from>
      <xdr:col>12</xdr:col>
      <xdr:colOff>461010</xdr:colOff>
      <xdr:row>19</xdr:row>
      <xdr:rowOff>171450</xdr:rowOff>
    </xdr:from>
    <xdr:to>
      <xdr:col>17</xdr:col>
      <xdr:colOff>335281</xdr:colOff>
      <xdr:row>23</xdr:row>
      <xdr:rowOff>41910</xdr:rowOff>
    </xdr:to>
    <xdr:sp macro="" textlink="">
      <xdr:nvSpPr>
        <xdr:cNvPr id="6" name="Pijl: vijfhoek 5">
          <a:extLst>
            <a:ext uri="{FF2B5EF4-FFF2-40B4-BE49-F238E27FC236}">
              <a16:creationId xmlns:a16="http://schemas.microsoft.com/office/drawing/2014/main" id="{00000000-0008-0000-0500-000006000000}"/>
            </a:ext>
          </a:extLst>
        </xdr:cNvPr>
        <xdr:cNvSpPr/>
      </xdr:nvSpPr>
      <xdr:spPr>
        <a:xfrm>
          <a:off x="8141970" y="3707130"/>
          <a:ext cx="3074671" cy="601980"/>
        </a:xfrm>
        <a:prstGeom prst="homePlate">
          <a:avLst/>
        </a:prstGeom>
        <a:solidFill>
          <a:srgbClr val="0062C4"/>
        </a:solidFill>
        <a:effectLst>
          <a:outerShdw blurRad="50800" dist="63500" dir="8100000" algn="tr" rotWithShape="0">
            <a:prstClr val="black">
              <a:alpha val="19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2000" b="1">
              <a:solidFill>
                <a:schemeClr val="lt1"/>
              </a:solidFill>
              <a:latin typeface="+mn-lt"/>
              <a:ea typeface="+mn-ea"/>
              <a:cs typeface="+mn-cs"/>
            </a:rPr>
            <a:t>Ondersteuning</a:t>
          </a:r>
        </a:p>
        <a:p>
          <a:pPr marL="0" indent="0" algn="l"/>
          <a:endParaRPr lang="nl-NL" sz="2000" b="1">
            <a:solidFill>
              <a:schemeClr val="lt1"/>
            </a:solidFill>
            <a:latin typeface="+mn-lt"/>
            <a:ea typeface="+mn-ea"/>
            <a:cs typeface="+mn-cs"/>
          </a:endParaRPr>
        </a:p>
      </xdr:txBody>
    </xdr:sp>
    <xdr:clientData/>
  </xdr:twoCellAnchor>
  <xdr:twoCellAnchor editAs="oneCell">
    <xdr:from>
      <xdr:col>1</xdr:col>
      <xdr:colOff>95251</xdr:colOff>
      <xdr:row>0</xdr:row>
      <xdr:rowOff>102870</xdr:rowOff>
    </xdr:from>
    <xdr:to>
      <xdr:col>4</xdr:col>
      <xdr:colOff>198055</xdr:colOff>
      <xdr:row>4</xdr:row>
      <xdr:rowOff>91350</xdr:rowOff>
    </xdr:to>
    <xdr:pic>
      <xdr:nvPicPr>
        <xdr:cNvPr id="11" name="Afbeelding 10">
          <a:hlinkClick xmlns:r="http://schemas.openxmlformats.org/officeDocument/2006/relationships" r:id="rId4"/>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5331" y="102870"/>
          <a:ext cx="2023044" cy="720000"/>
        </a:xfrm>
        <a:prstGeom prst="rect">
          <a:avLst/>
        </a:prstGeom>
        <a:solidFill>
          <a:schemeClr val="bg1"/>
        </a:solidFill>
        <a:ln w="1270">
          <a:solidFill>
            <a:schemeClr val="tx1"/>
          </a:solidFill>
        </a:ln>
        <a:effectLst>
          <a:outerShdw blurRad="50800" dist="38100" dir="2700000" algn="tl" rotWithShape="0">
            <a:prstClr val="black">
              <a:alpha val="40000"/>
            </a:prstClr>
          </a:outerShdw>
        </a:effectLst>
      </xdr:spPr>
    </xdr:pic>
    <xdr:clientData/>
  </xdr:twoCellAnchor>
  <xdr:twoCellAnchor editAs="oneCell">
    <xdr:from>
      <xdr:col>0</xdr:col>
      <xdr:colOff>133514</xdr:colOff>
      <xdr:row>0</xdr:row>
      <xdr:rowOff>102870</xdr:rowOff>
    </xdr:from>
    <xdr:to>
      <xdr:col>1</xdr:col>
      <xdr:colOff>60879</xdr:colOff>
      <xdr:row>4</xdr:row>
      <xdr:rowOff>91350</xdr:rowOff>
    </xdr:to>
    <xdr:pic>
      <xdr:nvPicPr>
        <xdr:cNvPr id="12" name="Afbeelding 11">
          <a:hlinkClick xmlns:r="http://schemas.openxmlformats.org/officeDocument/2006/relationships" r:id="rId6"/>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3514" y="102870"/>
          <a:ext cx="567445" cy="720000"/>
        </a:xfrm>
        <a:prstGeom prst="rect">
          <a:avLst/>
        </a:prstGeom>
        <a:solidFill>
          <a:schemeClr val="bg1"/>
        </a:solidFill>
        <a:ln w="1270">
          <a:solidFill>
            <a:schemeClr val="tx1"/>
          </a:solidFill>
        </a:ln>
        <a:effectLst>
          <a:outerShdw blurRad="50800" dist="38100" dir="2700000" algn="tl"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632460</xdr:colOff>
      <xdr:row>1</xdr:row>
      <xdr:rowOff>15240</xdr:rowOff>
    </xdr:from>
    <xdr:to>
      <xdr:col>11</xdr:col>
      <xdr:colOff>1562100</xdr:colOff>
      <xdr:row>2</xdr:row>
      <xdr:rowOff>549330</xdr:rowOff>
    </xdr:to>
    <xdr:sp macro="" textlink="">
      <xdr:nvSpPr>
        <xdr:cNvPr id="21" name="Rechthoek 20">
          <a:extLst>
            <a:ext uri="{FF2B5EF4-FFF2-40B4-BE49-F238E27FC236}">
              <a16:creationId xmlns:a16="http://schemas.microsoft.com/office/drawing/2014/main" id="{00000000-0008-0000-0600-000015000000}"/>
            </a:ext>
          </a:extLst>
        </xdr:cNvPr>
        <xdr:cNvSpPr/>
      </xdr:nvSpPr>
      <xdr:spPr>
        <a:xfrm>
          <a:off x="3192780" y="99060"/>
          <a:ext cx="6297930" cy="576000"/>
        </a:xfrm>
        <a:prstGeom prst="rect">
          <a:avLst/>
        </a:prstGeom>
        <a:solidFill>
          <a:srgbClr val="0062C4"/>
        </a:solidFill>
        <a:effectLst>
          <a:outerShdw blurRad="152400" dist="508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Stappenplan  | </a:t>
          </a:r>
          <a:r>
            <a:rPr lang="nl-NL" sz="1500" b="0"/>
            <a:t>De</a:t>
          </a:r>
          <a:r>
            <a:rPr lang="nl-NL" sz="1500" b="0" baseline="0"/>
            <a:t> </a:t>
          </a:r>
          <a:r>
            <a:rPr lang="nl-NL" sz="1500" b="0"/>
            <a:t>aanpak van de ontslagronde</a:t>
          </a:r>
        </a:p>
      </xdr:txBody>
    </xdr:sp>
    <xdr:clientData/>
  </xdr:twoCellAnchor>
  <xdr:twoCellAnchor>
    <xdr:from>
      <xdr:col>0</xdr:col>
      <xdr:colOff>144780</xdr:colOff>
      <xdr:row>3</xdr:row>
      <xdr:rowOff>183030</xdr:rowOff>
    </xdr:from>
    <xdr:to>
      <xdr:col>1</xdr:col>
      <xdr:colOff>419100</xdr:colOff>
      <xdr:row>5</xdr:row>
      <xdr:rowOff>19830</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4780" y="88407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1</xdr:col>
      <xdr:colOff>462915</xdr:colOff>
      <xdr:row>3</xdr:row>
      <xdr:rowOff>183030</xdr:rowOff>
    </xdr:from>
    <xdr:to>
      <xdr:col>2</xdr:col>
      <xdr:colOff>390525</xdr:colOff>
      <xdr:row>5</xdr:row>
      <xdr:rowOff>19830</xdr:rowOff>
    </xdr:to>
    <xdr:sp macro="" textlink="">
      <xdr:nvSpPr>
        <xdr:cNvPr id="25" name="Rechthoek 24">
          <a:hlinkClick xmlns:r="http://schemas.openxmlformats.org/officeDocument/2006/relationships" r:id="rId2"/>
          <a:extLst>
            <a:ext uri="{FF2B5EF4-FFF2-40B4-BE49-F238E27FC236}">
              <a16:creationId xmlns:a16="http://schemas.microsoft.com/office/drawing/2014/main" id="{00000000-0008-0000-0600-000019000000}"/>
            </a:ext>
          </a:extLst>
        </xdr:cNvPr>
        <xdr:cNvSpPr/>
      </xdr:nvSpPr>
      <xdr:spPr>
        <a:xfrm>
          <a:off x="1102995" y="88407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2</xdr:col>
      <xdr:colOff>434340</xdr:colOff>
      <xdr:row>3</xdr:row>
      <xdr:rowOff>183030</xdr:rowOff>
    </xdr:from>
    <xdr:to>
      <xdr:col>4</xdr:col>
      <xdr:colOff>209550</xdr:colOff>
      <xdr:row>5</xdr:row>
      <xdr:rowOff>19830</xdr:rowOff>
    </xdr:to>
    <xdr:sp macro="" textlink="">
      <xdr:nvSpPr>
        <xdr:cNvPr id="26" name="Rechthoek 25">
          <a:hlinkClick xmlns:r="http://schemas.openxmlformats.org/officeDocument/2006/relationships" r:id="rId3"/>
          <a:extLst>
            <a:ext uri="{FF2B5EF4-FFF2-40B4-BE49-F238E27FC236}">
              <a16:creationId xmlns:a16="http://schemas.microsoft.com/office/drawing/2014/main" id="{00000000-0008-0000-0600-00001A000000}"/>
            </a:ext>
          </a:extLst>
        </xdr:cNvPr>
        <xdr:cNvSpPr/>
      </xdr:nvSpPr>
      <xdr:spPr>
        <a:xfrm>
          <a:off x="1714500" y="88407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1</xdr:col>
      <xdr:colOff>110491</xdr:colOff>
      <xdr:row>1</xdr:row>
      <xdr:rowOff>15240</xdr:rowOff>
    </xdr:from>
    <xdr:to>
      <xdr:col>4</xdr:col>
      <xdr:colOff>213295</xdr:colOff>
      <xdr:row>3</xdr:row>
      <xdr:rowOff>118020</xdr:rowOff>
    </xdr:to>
    <xdr:pic>
      <xdr:nvPicPr>
        <xdr:cNvPr id="6" name="Afbeelding 5">
          <a:hlinkClick xmlns:r="http://schemas.openxmlformats.org/officeDocument/2006/relationships" r:id="rId4"/>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0571" y="9906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0</xdr:col>
      <xdr:colOff>152564</xdr:colOff>
      <xdr:row>1</xdr:row>
      <xdr:rowOff>15240</xdr:rowOff>
    </xdr:from>
    <xdr:to>
      <xdr:col>1</xdr:col>
      <xdr:colOff>79929</xdr:colOff>
      <xdr:row>3</xdr:row>
      <xdr:rowOff>118020</xdr:rowOff>
    </xdr:to>
    <xdr:pic>
      <xdr:nvPicPr>
        <xdr:cNvPr id="15" name="Afbeelding 14">
          <a:hlinkClick xmlns:r="http://schemas.openxmlformats.org/officeDocument/2006/relationships" r:id="rId6"/>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2564" y="9906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twoCellAnchor editAs="oneCell">
    <xdr:from>
      <xdr:col>1</xdr:col>
      <xdr:colOff>121919</xdr:colOff>
      <xdr:row>5</xdr:row>
      <xdr:rowOff>189905</xdr:rowOff>
    </xdr:from>
    <xdr:to>
      <xdr:col>4</xdr:col>
      <xdr:colOff>161095</xdr:colOff>
      <xdr:row>11</xdr:row>
      <xdr:rowOff>87631</xdr:rowOff>
    </xdr:to>
    <xdr:pic>
      <xdr:nvPicPr>
        <xdr:cNvPr id="30" name="Afbeelding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flipH="1">
          <a:off x="761999" y="1271945"/>
          <a:ext cx="1959416" cy="918806"/>
        </a:xfrm>
        <a:prstGeom prst="rect">
          <a:avLst/>
        </a:prstGeom>
      </xdr:spPr>
    </xdr:pic>
    <xdr:clientData/>
  </xdr:twoCellAnchor>
  <xdr:twoCellAnchor>
    <xdr:from>
      <xdr:col>16</xdr:col>
      <xdr:colOff>304800</xdr:colOff>
      <xdr:row>1</xdr:row>
      <xdr:rowOff>0</xdr:rowOff>
    </xdr:from>
    <xdr:to>
      <xdr:col>18</xdr:col>
      <xdr:colOff>11430</xdr:colOff>
      <xdr:row>2</xdr:row>
      <xdr:rowOff>259080</xdr:rowOff>
    </xdr:to>
    <xdr:sp macro="" textlink="">
      <xdr:nvSpPr>
        <xdr:cNvPr id="31" name="Rechthoek 30">
          <a:hlinkClick xmlns:r="http://schemas.openxmlformats.org/officeDocument/2006/relationships" r:id="rId9"/>
          <a:extLst>
            <a:ext uri="{FF2B5EF4-FFF2-40B4-BE49-F238E27FC236}">
              <a16:creationId xmlns:a16="http://schemas.microsoft.com/office/drawing/2014/main" id="{00000000-0008-0000-0600-00001F000000}"/>
            </a:ext>
          </a:extLst>
        </xdr:cNvPr>
        <xdr:cNvSpPr/>
      </xdr:nvSpPr>
      <xdr:spPr>
        <a:xfrm>
          <a:off x="11498580" y="83820"/>
          <a:ext cx="1318260" cy="300990"/>
        </a:xfrm>
        <a:prstGeom prst="rect">
          <a:avLst/>
        </a:prstGeom>
        <a:solidFill>
          <a:srgbClr val="F268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a:t>Info</a:t>
          </a:r>
          <a:r>
            <a:rPr lang="nl-NL" sz="1200" baseline="0"/>
            <a:t> &amp; bestellen</a:t>
          </a:r>
          <a:endParaRPr lang="nl-NL" sz="1200"/>
        </a:p>
      </xdr:txBody>
    </xdr:sp>
    <xdr:clientData/>
  </xdr:twoCellAnchor>
  <xdr:twoCellAnchor>
    <xdr:from>
      <xdr:col>11</xdr:col>
      <xdr:colOff>0</xdr:colOff>
      <xdr:row>16</xdr:row>
      <xdr:rowOff>7620</xdr:rowOff>
    </xdr:from>
    <xdr:to>
      <xdr:col>12</xdr:col>
      <xdr:colOff>3810</xdr:colOff>
      <xdr:row>17</xdr:row>
      <xdr:rowOff>45210</xdr:rowOff>
    </xdr:to>
    <xdr:sp macro="" textlink="">
      <xdr:nvSpPr>
        <xdr:cNvPr id="39" name="Pijl: vijfhoek 38">
          <a:hlinkClick xmlns:r="http://schemas.openxmlformats.org/officeDocument/2006/relationships" r:id="rId2"/>
          <a:extLst>
            <a:ext uri="{FF2B5EF4-FFF2-40B4-BE49-F238E27FC236}">
              <a16:creationId xmlns:a16="http://schemas.microsoft.com/office/drawing/2014/main" id="{00000000-0008-0000-0600-000027000000}"/>
            </a:ext>
          </a:extLst>
        </xdr:cNvPr>
        <xdr:cNvSpPr/>
      </xdr:nvSpPr>
      <xdr:spPr>
        <a:xfrm>
          <a:off x="7928610" y="3409950"/>
          <a:ext cx="1626870" cy="27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1. Invoer gegevens</a:t>
          </a:r>
        </a:p>
        <a:p>
          <a:pPr algn="l"/>
          <a:endParaRPr lang="nl-NL" sz="1100"/>
        </a:p>
        <a:p>
          <a:pPr algn="l"/>
          <a:endParaRPr lang="nl-NL" sz="1100"/>
        </a:p>
      </xdr:txBody>
    </xdr:sp>
    <xdr:clientData/>
  </xdr:twoCellAnchor>
  <xdr:twoCellAnchor>
    <xdr:from>
      <xdr:col>11</xdr:col>
      <xdr:colOff>0</xdr:colOff>
      <xdr:row>18</xdr:row>
      <xdr:rowOff>0</xdr:rowOff>
    </xdr:from>
    <xdr:to>
      <xdr:col>12</xdr:col>
      <xdr:colOff>3810</xdr:colOff>
      <xdr:row>19</xdr:row>
      <xdr:rowOff>37590</xdr:rowOff>
    </xdr:to>
    <xdr:sp macro="" textlink="">
      <xdr:nvSpPr>
        <xdr:cNvPr id="40" name="Pijl: vijfhoek 39">
          <a:hlinkClick xmlns:r="http://schemas.openxmlformats.org/officeDocument/2006/relationships" r:id="rId3"/>
          <a:extLst>
            <a:ext uri="{FF2B5EF4-FFF2-40B4-BE49-F238E27FC236}">
              <a16:creationId xmlns:a16="http://schemas.microsoft.com/office/drawing/2014/main" id="{00000000-0008-0000-0600-000028000000}"/>
            </a:ext>
          </a:extLst>
        </xdr:cNvPr>
        <xdr:cNvSpPr/>
      </xdr:nvSpPr>
      <xdr:spPr>
        <a:xfrm>
          <a:off x="7928610" y="3608070"/>
          <a:ext cx="1626870" cy="27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2. Ontslagpagina</a:t>
          </a:r>
        </a:p>
        <a:p>
          <a:pPr algn="l"/>
          <a:endParaRPr lang="nl-NL" sz="1100"/>
        </a:p>
        <a:p>
          <a:pPr algn="l"/>
          <a:endParaRPr lang="nl-NL" sz="1100"/>
        </a:p>
      </xdr:txBody>
    </xdr:sp>
    <xdr:clientData/>
  </xdr:twoCellAnchor>
  <xdr:twoCellAnchor>
    <xdr:from>
      <xdr:col>11</xdr:col>
      <xdr:colOff>0</xdr:colOff>
      <xdr:row>24</xdr:row>
      <xdr:rowOff>19050</xdr:rowOff>
    </xdr:from>
    <xdr:to>
      <xdr:col>12</xdr:col>
      <xdr:colOff>537210</xdr:colOff>
      <xdr:row>25</xdr:row>
      <xdr:rowOff>56640</xdr:rowOff>
    </xdr:to>
    <xdr:sp macro="" textlink="">
      <xdr:nvSpPr>
        <xdr:cNvPr id="41" name="Rechthoek 40">
          <a:hlinkClick xmlns:r="http://schemas.openxmlformats.org/officeDocument/2006/relationships" r:id="rId10"/>
          <a:extLst>
            <a:ext uri="{FF2B5EF4-FFF2-40B4-BE49-F238E27FC236}">
              <a16:creationId xmlns:a16="http://schemas.microsoft.com/office/drawing/2014/main" id="{00000000-0008-0000-0600-000029000000}"/>
            </a:ext>
          </a:extLst>
        </xdr:cNvPr>
        <xdr:cNvSpPr/>
      </xdr:nvSpPr>
      <xdr:spPr>
        <a:xfrm>
          <a:off x="7928610" y="4812030"/>
          <a:ext cx="2160270" cy="270000"/>
        </a:xfrm>
        <a:prstGeom prst="rect">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4.</a:t>
          </a:r>
          <a:r>
            <a:rPr lang="nl-NL" sz="1100" baseline="0"/>
            <a:t> Formulier A - UWV</a:t>
          </a:r>
        </a:p>
        <a:p>
          <a:pPr algn="l"/>
          <a:endParaRPr lang="nl-NL" sz="1100"/>
        </a:p>
      </xdr:txBody>
    </xdr:sp>
    <xdr:clientData/>
  </xdr:twoCellAnchor>
  <xdr:twoCellAnchor>
    <xdr:from>
      <xdr:col>14</xdr:col>
      <xdr:colOff>0</xdr:colOff>
      <xdr:row>24</xdr:row>
      <xdr:rowOff>19050</xdr:rowOff>
    </xdr:from>
    <xdr:to>
      <xdr:col>17</xdr:col>
      <xdr:colOff>3810</xdr:colOff>
      <xdr:row>25</xdr:row>
      <xdr:rowOff>56640</xdr:rowOff>
    </xdr:to>
    <xdr:sp macro="" textlink="">
      <xdr:nvSpPr>
        <xdr:cNvPr id="42" name="Rechthoek 41">
          <a:hlinkClick xmlns:r="http://schemas.openxmlformats.org/officeDocument/2006/relationships" r:id="rId11"/>
          <a:extLst>
            <a:ext uri="{FF2B5EF4-FFF2-40B4-BE49-F238E27FC236}">
              <a16:creationId xmlns:a16="http://schemas.microsoft.com/office/drawing/2014/main" id="{00000000-0008-0000-0600-00002A000000}"/>
            </a:ext>
          </a:extLst>
        </xdr:cNvPr>
        <xdr:cNvSpPr/>
      </xdr:nvSpPr>
      <xdr:spPr>
        <a:xfrm>
          <a:off x="10420350" y="4812030"/>
          <a:ext cx="1924050" cy="270000"/>
        </a:xfrm>
        <a:prstGeom prst="rect">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4. Ontslagoverzicht</a:t>
          </a:r>
        </a:p>
        <a:p>
          <a:pPr algn="l"/>
          <a:endParaRPr lang="nl-NL" sz="1100" baseline="0"/>
        </a:p>
        <a:p>
          <a:pPr algn="l"/>
          <a:endParaRPr lang="nl-NL" sz="1100"/>
        </a:p>
      </xdr:txBody>
    </xdr:sp>
    <xdr:clientData/>
  </xdr:twoCellAnchor>
  <xdr:twoCellAnchor>
    <xdr:from>
      <xdr:col>11</xdr:col>
      <xdr:colOff>7620</xdr:colOff>
      <xdr:row>40</xdr:row>
      <xdr:rowOff>11430</xdr:rowOff>
    </xdr:from>
    <xdr:to>
      <xdr:col>12</xdr:col>
      <xdr:colOff>537210</xdr:colOff>
      <xdr:row>41</xdr:row>
      <xdr:rowOff>49020</xdr:rowOff>
    </xdr:to>
    <xdr:sp macro="" textlink="">
      <xdr:nvSpPr>
        <xdr:cNvPr id="45" name="Rechthoek 44">
          <a:hlinkClick xmlns:r="http://schemas.openxmlformats.org/officeDocument/2006/relationships" r:id="rId12"/>
          <a:extLst>
            <a:ext uri="{FF2B5EF4-FFF2-40B4-BE49-F238E27FC236}">
              <a16:creationId xmlns:a16="http://schemas.microsoft.com/office/drawing/2014/main" id="{00000000-0008-0000-0600-00002D000000}"/>
            </a:ext>
          </a:extLst>
        </xdr:cNvPr>
        <xdr:cNvSpPr/>
      </xdr:nvSpPr>
      <xdr:spPr>
        <a:xfrm>
          <a:off x="7936230" y="7768590"/>
          <a:ext cx="2152650" cy="270000"/>
        </a:xfrm>
        <a:prstGeom prst="rect">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6. Brief aanhouden procedure</a:t>
          </a:r>
        </a:p>
        <a:p>
          <a:pPr algn="l"/>
          <a:endParaRPr lang="nl-NL" sz="1100" baseline="0"/>
        </a:p>
        <a:p>
          <a:pPr algn="l"/>
          <a:endParaRPr lang="nl-NL" sz="1100"/>
        </a:p>
      </xdr:txBody>
    </xdr:sp>
    <xdr:clientData/>
  </xdr:twoCellAnchor>
  <xdr:twoCellAnchor>
    <xdr:from>
      <xdr:col>14</xdr:col>
      <xdr:colOff>0</xdr:colOff>
      <xdr:row>40</xdr:row>
      <xdr:rowOff>15240</xdr:rowOff>
    </xdr:from>
    <xdr:to>
      <xdr:col>18</xdr:col>
      <xdr:colOff>0</xdr:colOff>
      <xdr:row>41</xdr:row>
      <xdr:rowOff>52830</xdr:rowOff>
    </xdr:to>
    <xdr:sp macro="" textlink="">
      <xdr:nvSpPr>
        <xdr:cNvPr id="46" name="Rechthoek 45">
          <a:hlinkClick xmlns:r="http://schemas.openxmlformats.org/officeDocument/2006/relationships" r:id="rId13"/>
          <a:extLst>
            <a:ext uri="{FF2B5EF4-FFF2-40B4-BE49-F238E27FC236}">
              <a16:creationId xmlns:a16="http://schemas.microsoft.com/office/drawing/2014/main" id="{00000000-0008-0000-0600-00002E000000}"/>
            </a:ext>
          </a:extLst>
        </xdr:cNvPr>
        <xdr:cNvSpPr/>
      </xdr:nvSpPr>
      <xdr:spPr>
        <a:xfrm>
          <a:off x="10420350" y="7772400"/>
          <a:ext cx="2720340" cy="270000"/>
        </a:xfrm>
        <a:prstGeom prst="rect">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6. Brief intrekken UWV-procedure</a:t>
          </a:r>
        </a:p>
        <a:p>
          <a:pPr algn="l"/>
          <a:endParaRPr lang="nl-NL" sz="1100" baseline="0"/>
        </a:p>
        <a:p>
          <a:pPr algn="l"/>
          <a:endParaRPr lang="nl-NL" sz="1100"/>
        </a:p>
      </xdr:txBody>
    </xdr:sp>
    <xdr:clientData/>
  </xdr:twoCellAnchor>
  <xdr:twoCellAnchor>
    <xdr:from>
      <xdr:col>11</xdr:col>
      <xdr:colOff>0</xdr:colOff>
      <xdr:row>26</xdr:row>
      <xdr:rowOff>0</xdr:rowOff>
    </xdr:from>
    <xdr:to>
      <xdr:col>13</xdr:col>
      <xdr:colOff>0</xdr:colOff>
      <xdr:row>27</xdr:row>
      <xdr:rowOff>56640</xdr:rowOff>
    </xdr:to>
    <xdr:sp macro="" textlink="">
      <xdr:nvSpPr>
        <xdr:cNvPr id="47" name="Rechthoek 46">
          <a:hlinkClick xmlns:r="http://schemas.openxmlformats.org/officeDocument/2006/relationships" r:id="rId14"/>
          <a:extLst>
            <a:ext uri="{FF2B5EF4-FFF2-40B4-BE49-F238E27FC236}">
              <a16:creationId xmlns:a16="http://schemas.microsoft.com/office/drawing/2014/main" id="{00000000-0008-0000-0600-00002F000000}"/>
            </a:ext>
          </a:extLst>
        </xdr:cNvPr>
        <xdr:cNvSpPr/>
      </xdr:nvSpPr>
      <xdr:spPr>
        <a:xfrm>
          <a:off x="7928610" y="5208270"/>
          <a:ext cx="2110740" cy="270000"/>
        </a:xfrm>
        <a:prstGeom prst="rect">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5. Vaststellingsovereenkomst</a:t>
          </a:r>
          <a:endParaRPr lang="nl-NL" sz="1100" baseline="0"/>
        </a:p>
        <a:p>
          <a:pPr algn="l"/>
          <a:endParaRPr lang="nl-NL" sz="1100"/>
        </a:p>
      </xdr:txBody>
    </xdr:sp>
    <xdr:clientData/>
  </xdr:twoCellAnchor>
  <xdr:twoCellAnchor>
    <xdr:from>
      <xdr:col>14</xdr:col>
      <xdr:colOff>0</xdr:colOff>
      <xdr:row>26</xdr:row>
      <xdr:rowOff>0</xdr:rowOff>
    </xdr:from>
    <xdr:to>
      <xdr:col>17</xdr:col>
      <xdr:colOff>3810</xdr:colOff>
      <xdr:row>27</xdr:row>
      <xdr:rowOff>56640</xdr:rowOff>
    </xdr:to>
    <xdr:sp macro="" textlink="">
      <xdr:nvSpPr>
        <xdr:cNvPr id="48" name="Rechthoek 47">
          <a:hlinkClick xmlns:r="http://schemas.openxmlformats.org/officeDocument/2006/relationships" r:id="rId15"/>
          <a:extLst>
            <a:ext uri="{FF2B5EF4-FFF2-40B4-BE49-F238E27FC236}">
              <a16:creationId xmlns:a16="http://schemas.microsoft.com/office/drawing/2014/main" id="{00000000-0008-0000-0600-000030000000}"/>
            </a:ext>
          </a:extLst>
        </xdr:cNvPr>
        <xdr:cNvSpPr/>
      </xdr:nvSpPr>
      <xdr:spPr>
        <a:xfrm>
          <a:off x="10367010" y="5208270"/>
          <a:ext cx="1943100" cy="270000"/>
        </a:xfrm>
        <a:prstGeom prst="rect">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5. Brief toelichting regeling</a:t>
          </a:r>
        </a:p>
        <a:p>
          <a:pPr algn="l"/>
          <a:endParaRPr lang="nl-NL" sz="1100"/>
        </a:p>
        <a:p>
          <a:pPr algn="l"/>
          <a:endParaRPr lang="nl-NL" sz="1100" baseline="0"/>
        </a:p>
        <a:p>
          <a:pPr algn="l"/>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521970</xdr:colOff>
      <xdr:row>13</xdr:row>
      <xdr:rowOff>10160</xdr:rowOff>
    </xdr:from>
    <xdr:to>
      <xdr:col>13</xdr:col>
      <xdr:colOff>628650</xdr:colOff>
      <xdr:row>14</xdr:row>
      <xdr:rowOff>7280</xdr:rowOff>
    </xdr:to>
    <xdr:sp macro="" textlink="">
      <xdr:nvSpPr>
        <xdr:cNvPr id="9" name="Pijl: vijfhoek 8">
          <a:extLst>
            <a:ext uri="{FF2B5EF4-FFF2-40B4-BE49-F238E27FC236}">
              <a16:creationId xmlns:a16="http://schemas.microsoft.com/office/drawing/2014/main" id="{00000000-0008-0000-0700-000009000000}"/>
            </a:ext>
          </a:extLst>
        </xdr:cNvPr>
        <xdr:cNvSpPr/>
      </xdr:nvSpPr>
      <xdr:spPr>
        <a:xfrm>
          <a:off x="8843010" y="245618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12</xdr:row>
      <xdr:rowOff>7620</xdr:rowOff>
    </xdr:from>
    <xdr:to>
      <xdr:col>13</xdr:col>
      <xdr:colOff>628650</xdr:colOff>
      <xdr:row>13</xdr:row>
      <xdr:rowOff>19980</xdr:rowOff>
    </xdr:to>
    <xdr:sp macro="" textlink="">
      <xdr:nvSpPr>
        <xdr:cNvPr id="10" name="Pijl: vijfhoek 9">
          <a:extLst>
            <a:ext uri="{FF2B5EF4-FFF2-40B4-BE49-F238E27FC236}">
              <a16:creationId xmlns:a16="http://schemas.microsoft.com/office/drawing/2014/main" id="{00000000-0008-0000-0700-00000A000000}"/>
            </a:ext>
          </a:extLst>
        </xdr:cNvPr>
        <xdr:cNvSpPr/>
      </xdr:nvSpPr>
      <xdr:spPr>
        <a:xfrm>
          <a:off x="8843010" y="228600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14</xdr:row>
      <xdr:rowOff>12700</xdr:rowOff>
    </xdr:from>
    <xdr:to>
      <xdr:col>13</xdr:col>
      <xdr:colOff>628650</xdr:colOff>
      <xdr:row>15</xdr:row>
      <xdr:rowOff>9820</xdr:rowOff>
    </xdr:to>
    <xdr:sp macro="" textlink="">
      <xdr:nvSpPr>
        <xdr:cNvPr id="11" name="Pijl: vijfhoek 10">
          <a:extLst>
            <a:ext uri="{FF2B5EF4-FFF2-40B4-BE49-F238E27FC236}">
              <a16:creationId xmlns:a16="http://schemas.microsoft.com/office/drawing/2014/main" id="{00000000-0008-0000-0700-00000B000000}"/>
            </a:ext>
          </a:extLst>
        </xdr:cNvPr>
        <xdr:cNvSpPr/>
      </xdr:nvSpPr>
      <xdr:spPr>
        <a:xfrm>
          <a:off x="8843010" y="264160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15</xdr:row>
      <xdr:rowOff>15240</xdr:rowOff>
    </xdr:from>
    <xdr:to>
      <xdr:col>13</xdr:col>
      <xdr:colOff>628650</xdr:colOff>
      <xdr:row>16</xdr:row>
      <xdr:rowOff>12360</xdr:rowOff>
    </xdr:to>
    <xdr:sp macro="" textlink="">
      <xdr:nvSpPr>
        <xdr:cNvPr id="12" name="Pijl: vijfhoek 11">
          <a:extLst>
            <a:ext uri="{FF2B5EF4-FFF2-40B4-BE49-F238E27FC236}">
              <a16:creationId xmlns:a16="http://schemas.microsoft.com/office/drawing/2014/main" id="{00000000-0008-0000-0700-00000C000000}"/>
            </a:ext>
          </a:extLst>
        </xdr:cNvPr>
        <xdr:cNvSpPr/>
      </xdr:nvSpPr>
      <xdr:spPr>
        <a:xfrm>
          <a:off x="8843010" y="282702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16</xdr:row>
      <xdr:rowOff>17780</xdr:rowOff>
    </xdr:from>
    <xdr:to>
      <xdr:col>13</xdr:col>
      <xdr:colOff>628650</xdr:colOff>
      <xdr:row>17</xdr:row>
      <xdr:rowOff>14900</xdr:rowOff>
    </xdr:to>
    <xdr:sp macro="" textlink="">
      <xdr:nvSpPr>
        <xdr:cNvPr id="13" name="Pijl: vijfhoek 12">
          <a:extLst>
            <a:ext uri="{FF2B5EF4-FFF2-40B4-BE49-F238E27FC236}">
              <a16:creationId xmlns:a16="http://schemas.microsoft.com/office/drawing/2014/main" id="{00000000-0008-0000-0700-00000D000000}"/>
            </a:ext>
          </a:extLst>
        </xdr:cNvPr>
        <xdr:cNvSpPr/>
      </xdr:nvSpPr>
      <xdr:spPr>
        <a:xfrm>
          <a:off x="8843010" y="301244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17</xdr:row>
      <xdr:rowOff>20320</xdr:rowOff>
    </xdr:from>
    <xdr:to>
      <xdr:col>13</xdr:col>
      <xdr:colOff>628650</xdr:colOff>
      <xdr:row>18</xdr:row>
      <xdr:rowOff>17440</xdr:rowOff>
    </xdr:to>
    <xdr:sp macro="" textlink="">
      <xdr:nvSpPr>
        <xdr:cNvPr id="14" name="Pijl: vijfhoek 13">
          <a:extLst>
            <a:ext uri="{FF2B5EF4-FFF2-40B4-BE49-F238E27FC236}">
              <a16:creationId xmlns:a16="http://schemas.microsoft.com/office/drawing/2014/main" id="{00000000-0008-0000-0700-00000E000000}"/>
            </a:ext>
          </a:extLst>
        </xdr:cNvPr>
        <xdr:cNvSpPr/>
      </xdr:nvSpPr>
      <xdr:spPr>
        <a:xfrm>
          <a:off x="8843010" y="319786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18</xdr:row>
      <xdr:rowOff>22860</xdr:rowOff>
    </xdr:from>
    <xdr:to>
      <xdr:col>13</xdr:col>
      <xdr:colOff>628650</xdr:colOff>
      <xdr:row>19</xdr:row>
      <xdr:rowOff>19980</xdr:rowOff>
    </xdr:to>
    <xdr:sp macro="" textlink="">
      <xdr:nvSpPr>
        <xdr:cNvPr id="15" name="Pijl: vijfhoek 14">
          <a:extLst>
            <a:ext uri="{FF2B5EF4-FFF2-40B4-BE49-F238E27FC236}">
              <a16:creationId xmlns:a16="http://schemas.microsoft.com/office/drawing/2014/main" id="{00000000-0008-0000-0700-00000F000000}"/>
            </a:ext>
          </a:extLst>
        </xdr:cNvPr>
        <xdr:cNvSpPr/>
      </xdr:nvSpPr>
      <xdr:spPr>
        <a:xfrm>
          <a:off x="8843010" y="338328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23</xdr:row>
      <xdr:rowOff>0</xdr:rowOff>
    </xdr:from>
    <xdr:to>
      <xdr:col>14</xdr:col>
      <xdr:colOff>30480</xdr:colOff>
      <xdr:row>23</xdr:row>
      <xdr:rowOff>180000</xdr:rowOff>
    </xdr:to>
    <xdr:sp macro="" textlink="">
      <xdr:nvSpPr>
        <xdr:cNvPr id="18" name="Pijl: vijfhoek 17">
          <a:extLst>
            <a:ext uri="{FF2B5EF4-FFF2-40B4-BE49-F238E27FC236}">
              <a16:creationId xmlns:a16="http://schemas.microsoft.com/office/drawing/2014/main" id="{00000000-0008-0000-0700-000012000000}"/>
            </a:ext>
          </a:extLst>
        </xdr:cNvPr>
        <xdr:cNvSpPr/>
      </xdr:nvSpPr>
      <xdr:spPr>
        <a:xfrm>
          <a:off x="8843010" y="431673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23</xdr:row>
      <xdr:rowOff>180340</xdr:rowOff>
    </xdr:from>
    <xdr:to>
      <xdr:col>14</xdr:col>
      <xdr:colOff>30480</xdr:colOff>
      <xdr:row>24</xdr:row>
      <xdr:rowOff>177460</xdr:rowOff>
    </xdr:to>
    <xdr:sp macro="" textlink="">
      <xdr:nvSpPr>
        <xdr:cNvPr id="19" name="Pijl: vijfhoek 18">
          <a:extLst>
            <a:ext uri="{FF2B5EF4-FFF2-40B4-BE49-F238E27FC236}">
              <a16:creationId xmlns:a16="http://schemas.microsoft.com/office/drawing/2014/main" id="{00000000-0008-0000-0700-000013000000}"/>
            </a:ext>
          </a:extLst>
        </xdr:cNvPr>
        <xdr:cNvSpPr/>
      </xdr:nvSpPr>
      <xdr:spPr>
        <a:xfrm>
          <a:off x="8843010" y="449707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21</xdr:row>
      <xdr:rowOff>7620</xdr:rowOff>
    </xdr:from>
    <xdr:to>
      <xdr:col>14</xdr:col>
      <xdr:colOff>30480</xdr:colOff>
      <xdr:row>21</xdr:row>
      <xdr:rowOff>187620</xdr:rowOff>
    </xdr:to>
    <xdr:sp macro="" textlink="">
      <xdr:nvSpPr>
        <xdr:cNvPr id="24" name="Pijl: vijfhoek 23">
          <a:extLst>
            <a:ext uri="{FF2B5EF4-FFF2-40B4-BE49-F238E27FC236}">
              <a16:creationId xmlns:a16="http://schemas.microsoft.com/office/drawing/2014/main" id="{00000000-0008-0000-0700-000018000000}"/>
            </a:ext>
          </a:extLst>
        </xdr:cNvPr>
        <xdr:cNvSpPr/>
      </xdr:nvSpPr>
      <xdr:spPr>
        <a:xfrm>
          <a:off x="8843010" y="387477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25</xdr:row>
      <xdr:rowOff>2540</xdr:rowOff>
    </xdr:from>
    <xdr:to>
      <xdr:col>14</xdr:col>
      <xdr:colOff>30480</xdr:colOff>
      <xdr:row>25</xdr:row>
      <xdr:rowOff>182540</xdr:rowOff>
    </xdr:to>
    <xdr:sp macro="" textlink="">
      <xdr:nvSpPr>
        <xdr:cNvPr id="42" name="Pijl: vijfhoek 41">
          <a:extLst>
            <a:ext uri="{FF2B5EF4-FFF2-40B4-BE49-F238E27FC236}">
              <a16:creationId xmlns:a16="http://schemas.microsoft.com/office/drawing/2014/main" id="{00000000-0008-0000-0700-00002A000000}"/>
            </a:ext>
          </a:extLst>
        </xdr:cNvPr>
        <xdr:cNvSpPr/>
      </xdr:nvSpPr>
      <xdr:spPr>
        <a:xfrm>
          <a:off x="8843010" y="468503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518160</xdr:colOff>
      <xdr:row>26</xdr:row>
      <xdr:rowOff>7620</xdr:rowOff>
    </xdr:from>
    <xdr:to>
      <xdr:col>14</xdr:col>
      <xdr:colOff>26670</xdr:colOff>
      <xdr:row>27</xdr:row>
      <xdr:rowOff>4740</xdr:rowOff>
    </xdr:to>
    <xdr:sp macro="" textlink="">
      <xdr:nvSpPr>
        <xdr:cNvPr id="43" name="Pijl: vijfhoek 42">
          <a:extLst>
            <a:ext uri="{FF2B5EF4-FFF2-40B4-BE49-F238E27FC236}">
              <a16:creationId xmlns:a16="http://schemas.microsoft.com/office/drawing/2014/main" id="{00000000-0008-0000-0700-00002B000000}"/>
            </a:ext>
          </a:extLst>
        </xdr:cNvPr>
        <xdr:cNvSpPr/>
      </xdr:nvSpPr>
      <xdr:spPr>
        <a:xfrm>
          <a:off x="8839200" y="487299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7</xdr:row>
      <xdr:rowOff>175260</xdr:rowOff>
    </xdr:from>
    <xdr:to>
      <xdr:col>14</xdr:col>
      <xdr:colOff>30480</xdr:colOff>
      <xdr:row>8</xdr:row>
      <xdr:rowOff>172380</xdr:rowOff>
    </xdr:to>
    <xdr:sp macro="" textlink="">
      <xdr:nvSpPr>
        <xdr:cNvPr id="45" name="Pijl: vijfhoek 44">
          <a:extLst>
            <a:ext uri="{FF2B5EF4-FFF2-40B4-BE49-F238E27FC236}">
              <a16:creationId xmlns:a16="http://schemas.microsoft.com/office/drawing/2014/main" id="{00000000-0008-0000-0700-00002D000000}"/>
            </a:ext>
          </a:extLst>
        </xdr:cNvPr>
        <xdr:cNvSpPr/>
      </xdr:nvSpPr>
      <xdr:spPr>
        <a:xfrm>
          <a:off x="8843010" y="145923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6</xdr:row>
      <xdr:rowOff>171450</xdr:rowOff>
    </xdr:from>
    <xdr:to>
      <xdr:col>14</xdr:col>
      <xdr:colOff>30480</xdr:colOff>
      <xdr:row>7</xdr:row>
      <xdr:rowOff>168570</xdr:rowOff>
    </xdr:to>
    <xdr:sp macro="" textlink="">
      <xdr:nvSpPr>
        <xdr:cNvPr id="46" name="Pijl: vijfhoek 45">
          <a:extLst>
            <a:ext uri="{FF2B5EF4-FFF2-40B4-BE49-F238E27FC236}">
              <a16:creationId xmlns:a16="http://schemas.microsoft.com/office/drawing/2014/main" id="{00000000-0008-0000-0700-00002E000000}"/>
            </a:ext>
          </a:extLst>
        </xdr:cNvPr>
        <xdr:cNvSpPr/>
      </xdr:nvSpPr>
      <xdr:spPr>
        <a:xfrm>
          <a:off x="8843010" y="127254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21</xdr:row>
      <xdr:rowOff>185420</xdr:rowOff>
    </xdr:from>
    <xdr:to>
      <xdr:col>14</xdr:col>
      <xdr:colOff>30480</xdr:colOff>
      <xdr:row>22</xdr:row>
      <xdr:rowOff>182540</xdr:rowOff>
    </xdr:to>
    <xdr:sp macro="" textlink="">
      <xdr:nvSpPr>
        <xdr:cNvPr id="49" name="Pijl: vijfhoek 48">
          <a:extLst>
            <a:ext uri="{FF2B5EF4-FFF2-40B4-BE49-F238E27FC236}">
              <a16:creationId xmlns:a16="http://schemas.microsoft.com/office/drawing/2014/main" id="{00000000-0008-0000-0700-000031000000}"/>
            </a:ext>
          </a:extLst>
        </xdr:cNvPr>
        <xdr:cNvSpPr/>
      </xdr:nvSpPr>
      <xdr:spPr>
        <a:xfrm>
          <a:off x="8843010" y="4109720"/>
          <a:ext cx="788670" cy="20667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5</xdr:row>
      <xdr:rowOff>213360</xdr:rowOff>
    </xdr:from>
    <xdr:to>
      <xdr:col>14</xdr:col>
      <xdr:colOff>30480</xdr:colOff>
      <xdr:row>6</xdr:row>
      <xdr:rowOff>172380</xdr:rowOff>
    </xdr:to>
    <xdr:sp macro="" textlink="">
      <xdr:nvSpPr>
        <xdr:cNvPr id="50" name="Pijl: vijfhoek 49">
          <a:extLst>
            <a:ext uri="{FF2B5EF4-FFF2-40B4-BE49-F238E27FC236}">
              <a16:creationId xmlns:a16="http://schemas.microsoft.com/office/drawing/2014/main" id="{00000000-0008-0000-0700-000032000000}"/>
            </a:ext>
          </a:extLst>
        </xdr:cNvPr>
        <xdr:cNvSpPr/>
      </xdr:nvSpPr>
      <xdr:spPr>
        <a:xfrm>
          <a:off x="8843010" y="1093470"/>
          <a:ext cx="78867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12</xdr:col>
      <xdr:colOff>521970</xdr:colOff>
      <xdr:row>11</xdr:row>
      <xdr:rowOff>11430</xdr:rowOff>
    </xdr:from>
    <xdr:to>
      <xdr:col>13</xdr:col>
      <xdr:colOff>628650</xdr:colOff>
      <xdr:row>12</xdr:row>
      <xdr:rowOff>930</xdr:rowOff>
    </xdr:to>
    <xdr:sp macro="" textlink="">
      <xdr:nvSpPr>
        <xdr:cNvPr id="26" name="Pijl: vijfhoek 25">
          <a:extLst>
            <a:ext uri="{FF2B5EF4-FFF2-40B4-BE49-F238E27FC236}">
              <a16:creationId xmlns:a16="http://schemas.microsoft.com/office/drawing/2014/main" id="{00000000-0008-0000-0700-00001A000000}"/>
            </a:ext>
          </a:extLst>
        </xdr:cNvPr>
        <xdr:cNvSpPr/>
      </xdr:nvSpPr>
      <xdr:spPr>
        <a:xfrm>
          <a:off x="8843010" y="2042160"/>
          <a:ext cx="746760" cy="180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xdr:from>
      <xdr:col>5</xdr:col>
      <xdr:colOff>621030</xdr:colOff>
      <xdr:row>1</xdr:row>
      <xdr:rowOff>60960</xdr:rowOff>
    </xdr:from>
    <xdr:to>
      <xdr:col>15</xdr:col>
      <xdr:colOff>102870</xdr:colOff>
      <xdr:row>3</xdr:row>
      <xdr:rowOff>152400</xdr:rowOff>
    </xdr:to>
    <xdr:sp macro="" textlink="">
      <xdr:nvSpPr>
        <xdr:cNvPr id="8" name="Rechthoek 7">
          <a:extLst>
            <a:ext uri="{FF2B5EF4-FFF2-40B4-BE49-F238E27FC236}">
              <a16:creationId xmlns:a16="http://schemas.microsoft.com/office/drawing/2014/main" id="{00000000-0008-0000-0700-000008000000}"/>
            </a:ext>
          </a:extLst>
        </xdr:cNvPr>
        <xdr:cNvSpPr/>
      </xdr:nvSpPr>
      <xdr:spPr>
        <a:xfrm>
          <a:off x="3821430" y="152400"/>
          <a:ext cx="5882640" cy="556260"/>
        </a:xfrm>
        <a:prstGeom prst="rect">
          <a:avLst/>
        </a:prstGeom>
        <a:solidFill>
          <a:srgbClr val="0062C4"/>
        </a:solidFill>
        <a:effectLst>
          <a:outerShdw blurRad="152400" dist="254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1. Invoer gegevens</a:t>
          </a:r>
          <a:r>
            <a:rPr lang="nl-NL" sz="2000" b="0"/>
            <a:t> | </a:t>
          </a:r>
          <a:r>
            <a:rPr lang="nl-NL" sz="1500" b="0"/>
            <a:t>De motivatie van het ontslag</a:t>
          </a:r>
          <a:endParaRPr lang="nl-NL" sz="1500" b="1"/>
        </a:p>
      </xdr:txBody>
    </xdr:sp>
    <xdr:clientData/>
  </xdr:twoCellAnchor>
  <xdr:twoCellAnchor>
    <xdr:from>
      <xdr:col>12</xdr:col>
      <xdr:colOff>521970</xdr:colOff>
      <xdr:row>27</xdr:row>
      <xdr:rowOff>175260</xdr:rowOff>
    </xdr:from>
    <xdr:to>
      <xdr:col>14</xdr:col>
      <xdr:colOff>30480</xdr:colOff>
      <xdr:row>29</xdr:row>
      <xdr:rowOff>16170</xdr:rowOff>
    </xdr:to>
    <xdr:sp macro="" textlink="">
      <xdr:nvSpPr>
        <xdr:cNvPr id="28" name="Pijl: vijfhoek 27">
          <a:extLst>
            <a:ext uri="{FF2B5EF4-FFF2-40B4-BE49-F238E27FC236}">
              <a16:creationId xmlns:a16="http://schemas.microsoft.com/office/drawing/2014/main" id="{00000000-0008-0000-0700-00001C000000}"/>
            </a:ext>
          </a:extLst>
        </xdr:cNvPr>
        <xdr:cNvSpPr/>
      </xdr:nvSpPr>
      <xdr:spPr>
        <a:xfrm>
          <a:off x="8843010" y="5223510"/>
          <a:ext cx="788670" cy="20667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Invoer</a:t>
          </a:r>
        </a:p>
      </xdr:txBody>
    </xdr:sp>
    <xdr:clientData/>
  </xdr:twoCellAnchor>
  <xdr:twoCellAnchor editAs="oneCell">
    <xdr:from>
      <xdr:col>1</xdr:col>
      <xdr:colOff>262890</xdr:colOff>
      <xdr:row>5</xdr:row>
      <xdr:rowOff>163694</xdr:rowOff>
    </xdr:from>
    <xdr:to>
      <xdr:col>5</xdr:col>
      <xdr:colOff>58972</xdr:colOff>
      <xdr:row>16</xdr:row>
      <xdr:rowOff>95250</xdr:rowOff>
    </xdr:to>
    <xdr:pic>
      <xdr:nvPicPr>
        <xdr:cNvPr id="4" name="Afbeelding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970" y="1264784"/>
          <a:ext cx="2356402" cy="1935616"/>
        </a:xfrm>
        <a:prstGeom prst="rect">
          <a:avLst/>
        </a:prstGeom>
      </xdr:spPr>
    </xdr:pic>
    <xdr:clientData/>
  </xdr:twoCellAnchor>
  <xdr:twoCellAnchor>
    <xdr:from>
      <xdr:col>0</xdr:col>
      <xdr:colOff>144780</xdr:colOff>
      <xdr:row>4</xdr:row>
      <xdr:rowOff>7770</xdr:rowOff>
    </xdr:from>
    <xdr:to>
      <xdr:col>1</xdr:col>
      <xdr:colOff>419100</xdr:colOff>
      <xdr:row>5</xdr:row>
      <xdr:rowOff>4590</xdr:rowOff>
    </xdr:to>
    <xdr:sp macro="" textlink="">
      <xdr:nvSpPr>
        <xdr:cNvPr id="97" name="Rechthoek 96">
          <a:hlinkClick xmlns:r="http://schemas.openxmlformats.org/officeDocument/2006/relationships" r:id="rId2"/>
          <a:extLst>
            <a:ext uri="{FF2B5EF4-FFF2-40B4-BE49-F238E27FC236}">
              <a16:creationId xmlns:a16="http://schemas.microsoft.com/office/drawing/2014/main" id="{00000000-0008-0000-0700-000061000000}"/>
            </a:ext>
          </a:extLst>
        </xdr:cNvPr>
        <xdr:cNvSpPr/>
      </xdr:nvSpPr>
      <xdr:spPr>
        <a:xfrm>
          <a:off x="144780" y="88788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1</xdr:col>
      <xdr:colOff>462915</xdr:colOff>
      <xdr:row>4</xdr:row>
      <xdr:rowOff>7770</xdr:rowOff>
    </xdr:from>
    <xdr:to>
      <xdr:col>2</xdr:col>
      <xdr:colOff>390525</xdr:colOff>
      <xdr:row>5</xdr:row>
      <xdr:rowOff>4590</xdr:rowOff>
    </xdr:to>
    <xdr:sp macro="" textlink="">
      <xdr:nvSpPr>
        <xdr:cNvPr id="98" name="Rechthoek 97">
          <a:hlinkClick xmlns:r="http://schemas.openxmlformats.org/officeDocument/2006/relationships" r:id="rId3"/>
          <a:extLst>
            <a:ext uri="{FF2B5EF4-FFF2-40B4-BE49-F238E27FC236}">
              <a16:creationId xmlns:a16="http://schemas.microsoft.com/office/drawing/2014/main" id="{00000000-0008-0000-0700-000062000000}"/>
            </a:ext>
          </a:extLst>
        </xdr:cNvPr>
        <xdr:cNvSpPr/>
      </xdr:nvSpPr>
      <xdr:spPr>
        <a:xfrm>
          <a:off x="1102995" y="88788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2</xdr:col>
      <xdr:colOff>434340</xdr:colOff>
      <xdr:row>4</xdr:row>
      <xdr:rowOff>7770</xdr:rowOff>
    </xdr:from>
    <xdr:to>
      <xdr:col>4</xdr:col>
      <xdr:colOff>209550</xdr:colOff>
      <xdr:row>5</xdr:row>
      <xdr:rowOff>4590</xdr:rowOff>
    </xdr:to>
    <xdr:sp macro="" textlink="">
      <xdr:nvSpPr>
        <xdr:cNvPr id="99" name="Rechthoek 98">
          <a:hlinkClick xmlns:r="http://schemas.openxmlformats.org/officeDocument/2006/relationships" r:id="rId4"/>
          <a:extLst>
            <a:ext uri="{FF2B5EF4-FFF2-40B4-BE49-F238E27FC236}">
              <a16:creationId xmlns:a16="http://schemas.microsoft.com/office/drawing/2014/main" id="{00000000-0008-0000-0700-000063000000}"/>
            </a:ext>
          </a:extLst>
        </xdr:cNvPr>
        <xdr:cNvSpPr/>
      </xdr:nvSpPr>
      <xdr:spPr>
        <a:xfrm>
          <a:off x="1714500" y="88788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1</xdr:col>
      <xdr:colOff>114301</xdr:colOff>
      <xdr:row>1</xdr:row>
      <xdr:rowOff>7620</xdr:rowOff>
    </xdr:from>
    <xdr:to>
      <xdr:col>4</xdr:col>
      <xdr:colOff>217105</xdr:colOff>
      <xdr:row>3</xdr:row>
      <xdr:rowOff>262800</xdr:rowOff>
    </xdr:to>
    <xdr:pic>
      <xdr:nvPicPr>
        <xdr:cNvPr id="103" name="Afbeelding 102">
          <a:hlinkClick xmlns:r="http://schemas.openxmlformats.org/officeDocument/2006/relationships" r:id="rId5"/>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54381" y="9906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0</xdr:col>
      <xdr:colOff>152564</xdr:colOff>
      <xdr:row>1</xdr:row>
      <xdr:rowOff>7620</xdr:rowOff>
    </xdr:from>
    <xdr:to>
      <xdr:col>1</xdr:col>
      <xdr:colOff>79929</xdr:colOff>
      <xdr:row>3</xdr:row>
      <xdr:rowOff>262800</xdr:rowOff>
    </xdr:to>
    <xdr:pic>
      <xdr:nvPicPr>
        <xdr:cNvPr id="104" name="Afbeelding 103">
          <a:hlinkClick xmlns:r="http://schemas.openxmlformats.org/officeDocument/2006/relationships" r:id="rId7"/>
          <a:extLst>
            <a:ext uri="{FF2B5EF4-FFF2-40B4-BE49-F238E27FC236}">
              <a16:creationId xmlns:a16="http://schemas.microsoft.com/office/drawing/2014/main" id="{00000000-0008-0000-0700-00006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2564" y="9906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twoCellAnchor>
    <xdr:from>
      <xdr:col>17</xdr:col>
      <xdr:colOff>842010</xdr:colOff>
      <xdr:row>1</xdr:row>
      <xdr:rowOff>38100</xdr:rowOff>
    </xdr:from>
    <xdr:to>
      <xdr:col>19</xdr:col>
      <xdr:colOff>377190</xdr:colOff>
      <xdr:row>2</xdr:row>
      <xdr:rowOff>262890</xdr:rowOff>
    </xdr:to>
    <xdr:sp macro="" textlink="">
      <xdr:nvSpPr>
        <xdr:cNvPr id="105" name="Rechthoek 104">
          <a:hlinkClick xmlns:r="http://schemas.openxmlformats.org/officeDocument/2006/relationships" r:id="rId9"/>
          <a:extLst>
            <a:ext uri="{FF2B5EF4-FFF2-40B4-BE49-F238E27FC236}">
              <a16:creationId xmlns:a16="http://schemas.microsoft.com/office/drawing/2014/main" id="{00000000-0008-0000-0700-000069000000}"/>
            </a:ext>
          </a:extLst>
        </xdr:cNvPr>
        <xdr:cNvSpPr/>
      </xdr:nvSpPr>
      <xdr:spPr>
        <a:xfrm>
          <a:off x="11929110" y="129540"/>
          <a:ext cx="1318260" cy="300990"/>
        </a:xfrm>
        <a:prstGeom prst="rect">
          <a:avLst/>
        </a:prstGeom>
        <a:solidFill>
          <a:srgbClr val="F268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a:t>Info</a:t>
          </a:r>
          <a:r>
            <a:rPr lang="nl-NL" sz="1200" baseline="0"/>
            <a:t> &amp; bestellen</a:t>
          </a:r>
          <a:endParaRPr lang="nl-NL"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14941</xdr:colOff>
      <xdr:row>10</xdr:row>
      <xdr:rowOff>127001</xdr:rowOff>
    </xdr:from>
    <xdr:to>
      <xdr:col>44</xdr:col>
      <xdr:colOff>134471</xdr:colOff>
      <xdr:row>12</xdr:row>
      <xdr:rowOff>8178</xdr:rowOff>
    </xdr:to>
    <xdr:sp macro="" textlink="">
      <xdr:nvSpPr>
        <xdr:cNvPr id="3" name="Pijl: vijfhoek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23461382" y="2058148"/>
          <a:ext cx="1397001" cy="247236"/>
        </a:xfrm>
        <a:prstGeom prst="homePlate">
          <a:avLst/>
        </a:prstGeom>
        <a:solidFill>
          <a:srgbClr val="0062C4"/>
        </a:solidFill>
        <a:effectLst>
          <a:outerShdw blurRad="152400" dist="1270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Print</a:t>
          </a:r>
          <a:r>
            <a:rPr lang="nl-NL" sz="1100" baseline="0"/>
            <a:t> afspiegelen</a:t>
          </a:r>
          <a:endParaRPr lang="nl-NL" sz="1100"/>
        </a:p>
      </xdr:txBody>
    </xdr:sp>
    <xdr:clientData/>
  </xdr:twoCellAnchor>
  <xdr:twoCellAnchor>
    <xdr:from>
      <xdr:col>27</xdr:col>
      <xdr:colOff>317500</xdr:colOff>
      <xdr:row>1</xdr:row>
      <xdr:rowOff>44823</xdr:rowOff>
    </xdr:from>
    <xdr:to>
      <xdr:col>40</xdr:col>
      <xdr:colOff>212910</xdr:colOff>
      <xdr:row>3</xdr:row>
      <xdr:rowOff>75453</xdr:rowOff>
    </xdr:to>
    <xdr:sp macro="" textlink="">
      <xdr:nvSpPr>
        <xdr:cNvPr id="11" name="Rechthoek 10">
          <a:extLst>
            <a:ext uri="{FF2B5EF4-FFF2-40B4-BE49-F238E27FC236}">
              <a16:creationId xmlns:a16="http://schemas.microsoft.com/office/drawing/2014/main" id="{00000000-0008-0000-0800-00000B000000}"/>
            </a:ext>
          </a:extLst>
        </xdr:cNvPr>
        <xdr:cNvSpPr/>
      </xdr:nvSpPr>
      <xdr:spPr>
        <a:xfrm>
          <a:off x="15273618" y="168088"/>
          <a:ext cx="7197910" cy="609600"/>
        </a:xfrm>
        <a:prstGeom prst="rect">
          <a:avLst/>
        </a:prstGeom>
        <a:solidFill>
          <a:srgbClr val="0062C4"/>
        </a:solidFill>
        <a:effectLst>
          <a:outerShdw blurRad="152400" dist="508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Afspiegelen</a:t>
          </a:r>
        </a:p>
      </xdr:txBody>
    </xdr:sp>
    <xdr:clientData/>
  </xdr:twoCellAnchor>
  <xdr:twoCellAnchor>
    <xdr:from>
      <xdr:col>8</xdr:col>
      <xdr:colOff>22861</xdr:colOff>
      <xdr:row>0</xdr:row>
      <xdr:rowOff>100853</xdr:rowOff>
    </xdr:from>
    <xdr:to>
      <xdr:col>12</xdr:col>
      <xdr:colOff>1192531</xdr:colOff>
      <xdr:row>2</xdr:row>
      <xdr:rowOff>508000</xdr:rowOff>
    </xdr:to>
    <xdr:sp macro="" textlink="">
      <xdr:nvSpPr>
        <xdr:cNvPr id="10" name="Rechthoek 9">
          <a:extLst>
            <a:ext uri="{FF2B5EF4-FFF2-40B4-BE49-F238E27FC236}">
              <a16:creationId xmlns:a16="http://schemas.microsoft.com/office/drawing/2014/main" id="{00000000-0008-0000-0800-00000A000000}"/>
            </a:ext>
          </a:extLst>
        </xdr:cNvPr>
        <xdr:cNvSpPr/>
      </xdr:nvSpPr>
      <xdr:spPr>
        <a:xfrm>
          <a:off x="5356861" y="100853"/>
          <a:ext cx="5006340" cy="582407"/>
        </a:xfrm>
        <a:prstGeom prst="rect">
          <a:avLst/>
        </a:prstGeom>
        <a:solidFill>
          <a:srgbClr val="0062C4"/>
        </a:solidFill>
        <a:effectLst>
          <a:outerShdw blurRad="152400" dist="508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2. Ontslagpagina </a:t>
          </a:r>
          <a:r>
            <a:rPr lang="nl-NL" sz="2000" b="0"/>
            <a:t>|</a:t>
          </a:r>
          <a:r>
            <a:rPr lang="nl-NL" sz="2000" b="1"/>
            <a:t> </a:t>
          </a:r>
          <a:r>
            <a:rPr lang="nl-NL" sz="1500" b="0" i="0"/>
            <a:t>Wie</a:t>
          </a:r>
          <a:r>
            <a:rPr lang="nl-NL" sz="1500" b="0" i="0" baseline="0"/>
            <a:t> gaat er wanneer weg? </a:t>
          </a:r>
          <a:endParaRPr lang="nl-NL" sz="1500" b="0" i="0"/>
        </a:p>
      </xdr:txBody>
    </xdr:sp>
    <xdr:clientData/>
  </xdr:twoCellAnchor>
  <xdr:twoCellAnchor>
    <xdr:from>
      <xdr:col>24</xdr:col>
      <xdr:colOff>556558</xdr:colOff>
      <xdr:row>1</xdr:row>
      <xdr:rowOff>48560</xdr:rowOff>
    </xdr:from>
    <xdr:to>
      <xdr:col>27</xdr:col>
      <xdr:colOff>257732</xdr:colOff>
      <xdr:row>2</xdr:row>
      <xdr:rowOff>280144</xdr:rowOff>
    </xdr:to>
    <xdr:sp macro="" textlink="">
      <xdr:nvSpPr>
        <xdr:cNvPr id="16" name="Pijl: vijfhoek 15">
          <a:hlinkClick xmlns:r="http://schemas.openxmlformats.org/officeDocument/2006/relationships" r:id="rId2"/>
          <a:extLst>
            <a:ext uri="{FF2B5EF4-FFF2-40B4-BE49-F238E27FC236}">
              <a16:creationId xmlns:a16="http://schemas.microsoft.com/office/drawing/2014/main" id="{00000000-0008-0000-0800-000010000000}"/>
            </a:ext>
          </a:extLst>
        </xdr:cNvPr>
        <xdr:cNvSpPr/>
      </xdr:nvSpPr>
      <xdr:spPr>
        <a:xfrm flipH="1">
          <a:off x="14014823" y="171825"/>
          <a:ext cx="1199027" cy="283878"/>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nl-NL" sz="1100"/>
            <a:t>  Ontslagpagina</a:t>
          </a:r>
        </a:p>
        <a:p>
          <a:pPr algn="l"/>
          <a:endParaRPr lang="nl-NL" sz="1100"/>
        </a:p>
      </xdr:txBody>
    </xdr:sp>
    <xdr:clientData/>
  </xdr:twoCellAnchor>
  <xdr:twoCellAnchor>
    <xdr:from>
      <xdr:col>24</xdr:col>
      <xdr:colOff>537882</xdr:colOff>
      <xdr:row>2</xdr:row>
      <xdr:rowOff>316749</xdr:rowOff>
    </xdr:from>
    <xdr:to>
      <xdr:col>27</xdr:col>
      <xdr:colOff>253251</xdr:colOff>
      <xdr:row>3</xdr:row>
      <xdr:rowOff>74706</xdr:rowOff>
    </xdr:to>
    <xdr:sp macro="" textlink="">
      <xdr:nvSpPr>
        <xdr:cNvPr id="17" name="Pijl: vijfhoek 16">
          <a:hlinkClick xmlns:r="http://schemas.openxmlformats.org/officeDocument/2006/relationships" r:id="rId3"/>
          <a:extLst>
            <a:ext uri="{FF2B5EF4-FFF2-40B4-BE49-F238E27FC236}">
              <a16:creationId xmlns:a16="http://schemas.microsoft.com/office/drawing/2014/main" id="{00000000-0008-0000-0800-000011000000}"/>
            </a:ext>
          </a:extLst>
        </xdr:cNvPr>
        <xdr:cNvSpPr/>
      </xdr:nvSpPr>
      <xdr:spPr>
        <a:xfrm flipH="1">
          <a:off x="13996147" y="492308"/>
          <a:ext cx="1213222" cy="284633"/>
        </a:xfrm>
        <a:prstGeom prst="homePlate">
          <a:avLst/>
        </a:prstGeom>
        <a:solidFill>
          <a:srgbClr val="0062C4"/>
        </a:solidFill>
        <a:effectLst>
          <a:outerShdw blurRad="152400" dist="1270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nl-NL" sz="1100"/>
            <a:t>Formulier C</a:t>
          </a:r>
        </a:p>
        <a:p>
          <a:pPr algn="l"/>
          <a:endParaRPr lang="nl-NL" sz="1100"/>
        </a:p>
      </xdr:txBody>
    </xdr:sp>
    <xdr:clientData/>
  </xdr:twoCellAnchor>
  <xdr:twoCellAnchor>
    <xdr:from>
      <xdr:col>16</xdr:col>
      <xdr:colOff>17256</xdr:colOff>
      <xdr:row>1</xdr:row>
      <xdr:rowOff>74</xdr:rowOff>
    </xdr:from>
    <xdr:to>
      <xdr:col>17</xdr:col>
      <xdr:colOff>292699</xdr:colOff>
      <xdr:row>2</xdr:row>
      <xdr:rowOff>285750</xdr:rowOff>
    </xdr:to>
    <xdr:sp macro="" textlink="">
      <xdr:nvSpPr>
        <xdr:cNvPr id="18" name="Pijl: vijfhoek 17">
          <a:hlinkClick xmlns:r="http://schemas.openxmlformats.org/officeDocument/2006/relationships" r:id="rId4"/>
          <a:extLst>
            <a:ext uri="{FF2B5EF4-FFF2-40B4-BE49-F238E27FC236}">
              <a16:creationId xmlns:a16="http://schemas.microsoft.com/office/drawing/2014/main" id="{00000000-0008-0000-0800-000012000000}"/>
            </a:ext>
          </a:extLst>
        </xdr:cNvPr>
        <xdr:cNvSpPr/>
      </xdr:nvSpPr>
      <xdr:spPr>
        <a:xfrm>
          <a:off x="11111976" y="121994"/>
          <a:ext cx="1464163" cy="339016"/>
        </a:xfrm>
        <a:prstGeom prst="homePlate">
          <a:avLst/>
        </a:prstGeom>
        <a:solidFill>
          <a:srgbClr val="0062C4"/>
        </a:solidFill>
        <a:effectLst>
          <a:outerShdw blurRad="152400" dist="3810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Afspiegelen</a:t>
          </a:r>
        </a:p>
      </xdr:txBody>
    </xdr:sp>
    <xdr:clientData/>
  </xdr:twoCellAnchor>
  <xdr:twoCellAnchor>
    <xdr:from>
      <xdr:col>18</xdr:col>
      <xdr:colOff>201931</xdr:colOff>
      <xdr:row>13</xdr:row>
      <xdr:rowOff>10459</xdr:rowOff>
    </xdr:from>
    <xdr:to>
      <xdr:col>19</xdr:col>
      <xdr:colOff>68581</xdr:colOff>
      <xdr:row>14</xdr:row>
      <xdr:rowOff>49530</xdr:rowOff>
    </xdr:to>
    <xdr:sp macro="" textlink="">
      <xdr:nvSpPr>
        <xdr:cNvPr id="21" name="Pijl: vijfhoek 20">
          <a:hlinkClick xmlns:r="http://schemas.openxmlformats.org/officeDocument/2006/relationships" r:id="rId4"/>
          <a:extLst>
            <a:ext uri="{FF2B5EF4-FFF2-40B4-BE49-F238E27FC236}">
              <a16:creationId xmlns:a16="http://schemas.microsoft.com/office/drawing/2014/main" id="{00000000-0008-0000-0800-000015000000}"/>
            </a:ext>
          </a:extLst>
        </xdr:cNvPr>
        <xdr:cNvSpPr/>
      </xdr:nvSpPr>
      <xdr:spPr>
        <a:xfrm>
          <a:off x="14657071" y="2486959"/>
          <a:ext cx="914400" cy="221951"/>
        </a:xfrm>
        <a:prstGeom prst="homePlate">
          <a:avLst/>
        </a:prstGeom>
        <a:solidFill>
          <a:srgbClr val="0062C4"/>
        </a:solidFill>
        <a:effectLst>
          <a:outerShdw blurRad="50800" dist="38100" dir="8100000" algn="tr" rotWithShape="0">
            <a:prstClr val="black">
              <a:alpha val="26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Afspiegelen</a:t>
          </a:r>
        </a:p>
      </xdr:txBody>
    </xdr:sp>
    <xdr:clientData/>
  </xdr:twoCellAnchor>
  <xdr:twoCellAnchor>
    <xdr:from>
      <xdr:col>22</xdr:col>
      <xdr:colOff>424927</xdr:colOff>
      <xdr:row>15</xdr:row>
      <xdr:rowOff>52816</xdr:rowOff>
    </xdr:from>
    <xdr:to>
      <xdr:col>23</xdr:col>
      <xdr:colOff>0</xdr:colOff>
      <xdr:row>16</xdr:row>
      <xdr:rowOff>85786</xdr:rowOff>
    </xdr:to>
    <xdr:sp macro="" textlink="">
      <xdr:nvSpPr>
        <xdr:cNvPr id="22" name="Pijl: vijfhoek 21">
          <a:hlinkClick xmlns:r="http://schemas.openxmlformats.org/officeDocument/2006/relationships" r:id="rId5"/>
          <a:extLst>
            <a:ext uri="{FF2B5EF4-FFF2-40B4-BE49-F238E27FC236}">
              <a16:creationId xmlns:a16="http://schemas.microsoft.com/office/drawing/2014/main" id="{00000000-0008-0000-0800-000016000000}"/>
            </a:ext>
          </a:extLst>
        </xdr:cNvPr>
        <xdr:cNvSpPr/>
      </xdr:nvSpPr>
      <xdr:spPr>
        <a:xfrm>
          <a:off x="16788877" y="2921746"/>
          <a:ext cx="866663" cy="215850"/>
        </a:xfrm>
        <a:prstGeom prst="homePlate">
          <a:avLst/>
        </a:prstGeom>
        <a:solidFill>
          <a:srgbClr val="0062C4"/>
        </a:solidFill>
        <a:effectLst>
          <a:outerShdw blurRad="50800" dist="38100" dir="8100000" algn="tr" rotWithShape="0">
            <a:prstClr val="black">
              <a:alpha val="2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Motivatie</a:t>
          </a:r>
        </a:p>
      </xdr:txBody>
    </xdr:sp>
    <xdr:clientData/>
  </xdr:twoCellAnchor>
  <xdr:twoCellAnchor editAs="oneCell">
    <xdr:from>
      <xdr:col>13</xdr:col>
      <xdr:colOff>30480</xdr:colOff>
      <xdr:row>1</xdr:row>
      <xdr:rowOff>26670</xdr:rowOff>
    </xdr:from>
    <xdr:to>
      <xdr:col>14</xdr:col>
      <xdr:colOff>316951</xdr:colOff>
      <xdr:row>2</xdr:row>
      <xdr:rowOff>451080</xdr:rowOff>
    </xdr:to>
    <xdr:pic>
      <xdr:nvPicPr>
        <xdr:cNvPr id="23" name="Afbeelding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591800" y="148590"/>
          <a:ext cx="1395181" cy="477750"/>
        </a:xfrm>
        <a:prstGeom prst="rect">
          <a:avLst/>
        </a:prstGeom>
      </xdr:spPr>
    </xdr:pic>
    <xdr:clientData/>
  </xdr:twoCellAnchor>
  <xdr:twoCellAnchor>
    <xdr:from>
      <xdr:col>0</xdr:col>
      <xdr:colOff>99060</xdr:colOff>
      <xdr:row>4</xdr:row>
      <xdr:rowOff>3960</xdr:rowOff>
    </xdr:from>
    <xdr:to>
      <xdr:col>1</xdr:col>
      <xdr:colOff>697230</xdr:colOff>
      <xdr:row>5</xdr:row>
      <xdr:rowOff>35070</xdr:rowOff>
    </xdr:to>
    <xdr:sp macro="" textlink="">
      <xdr:nvSpPr>
        <xdr:cNvPr id="24" name="Rechthoek 23">
          <a:hlinkClick xmlns:r="http://schemas.openxmlformats.org/officeDocument/2006/relationships" r:id="rId7"/>
          <a:extLst>
            <a:ext uri="{FF2B5EF4-FFF2-40B4-BE49-F238E27FC236}">
              <a16:creationId xmlns:a16="http://schemas.microsoft.com/office/drawing/2014/main" id="{00000000-0008-0000-0800-000018000000}"/>
            </a:ext>
          </a:extLst>
        </xdr:cNvPr>
        <xdr:cNvSpPr/>
      </xdr:nvSpPr>
      <xdr:spPr>
        <a:xfrm>
          <a:off x="99060" y="87645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2</xdr:col>
      <xdr:colOff>5715</xdr:colOff>
      <xdr:row>4</xdr:row>
      <xdr:rowOff>3960</xdr:rowOff>
    </xdr:from>
    <xdr:to>
      <xdr:col>4</xdr:col>
      <xdr:colOff>523875</xdr:colOff>
      <xdr:row>5</xdr:row>
      <xdr:rowOff>35070</xdr:rowOff>
    </xdr:to>
    <xdr:sp macro="" textlink="">
      <xdr:nvSpPr>
        <xdr:cNvPr id="29" name="Rechthoek 28">
          <a:hlinkClick xmlns:r="http://schemas.openxmlformats.org/officeDocument/2006/relationships" r:id="rId8"/>
          <a:extLst>
            <a:ext uri="{FF2B5EF4-FFF2-40B4-BE49-F238E27FC236}">
              <a16:creationId xmlns:a16="http://schemas.microsoft.com/office/drawing/2014/main" id="{00000000-0008-0000-0800-00001D000000}"/>
            </a:ext>
          </a:extLst>
        </xdr:cNvPr>
        <xdr:cNvSpPr/>
      </xdr:nvSpPr>
      <xdr:spPr>
        <a:xfrm>
          <a:off x="1057275" y="87645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4</xdr:col>
      <xdr:colOff>567690</xdr:colOff>
      <xdr:row>4</xdr:row>
      <xdr:rowOff>3960</xdr:rowOff>
    </xdr:from>
    <xdr:to>
      <xdr:col>5</xdr:col>
      <xdr:colOff>697230</xdr:colOff>
      <xdr:row>5</xdr:row>
      <xdr:rowOff>35070</xdr:rowOff>
    </xdr:to>
    <xdr:sp macro="" textlink="">
      <xdr:nvSpPr>
        <xdr:cNvPr id="30" name="Rechthoek 29">
          <a:hlinkClick xmlns:r="http://schemas.openxmlformats.org/officeDocument/2006/relationships" r:id="rId2"/>
          <a:extLst>
            <a:ext uri="{FF2B5EF4-FFF2-40B4-BE49-F238E27FC236}">
              <a16:creationId xmlns:a16="http://schemas.microsoft.com/office/drawing/2014/main" id="{00000000-0008-0000-0800-00001E000000}"/>
            </a:ext>
          </a:extLst>
        </xdr:cNvPr>
        <xdr:cNvSpPr/>
      </xdr:nvSpPr>
      <xdr:spPr>
        <a:xfrm>
          <a:off x="1668780" y="87645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1</xdr:col>
      <xdr:colOff>388621</xdr:colOff>
      <xdr:row>0</xdr:row>
      <xdr:rowOff>91440</xdr:rowOff>
    </xdr:from>
    <xdr:to>
      <xdr:col>5</xdr:col>
      <xdr:colOff>700975</xdr:colOff>
      <xdr:row>3</xdr:row>
      <xdr:rowOff>110400</xdr:rowOff>
    </xdr:to>
    <xdr:pic>
      <xdr:nvPicPr>
        <xdr:cNvPr id="31" name="Afbeelding 30">
          <a:hlinkClick xmlns:r="http://schemas.openxmlformats.org/officeDocument/2006/relationships" r:id="rId9"/>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4851" y="9144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0</xdr:col>
      <xdr:colOff>106844</xdr:colOff>
      <xdr:row>0</xdr:row>
      <xdr:rowOff>91440</xdr:rowOff>
    </xdr:from>
    <xdr:to>
      <xdr:col>1</xdr:col>
      <xdr:colOff>358059</xdr:colOff>
      <xdr:row>3</xdr:row>
      <xdr:rowOff>110400</xdr:rowOff>
    </xdr:to>
    <xdr:pic>
      <xdr:nvPicPr>
        <xdr:cNvPr id="32" name="Afbeelding 31">
          <a:hlinkClick xmlns:r="http://schemas.openxmlformats.org/officeDocument/2006/relationships" r:id="rId1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844" y="9144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304800</xdr:colOff>
      <xdr:row>5</xdr:row>
      <xdr:rowOff>179070</xdr:rowOff>
    </xdr:from>
    <xdr:to>
      <xdr:col>23</xdr:col>
      <xdr:colOff>620956</xdr:colOff>
      <xdr:row>6</xdr:row>
      <xdr:rowOff>212190</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0953750" y="1055370"/>
          <a:ext cx="956236" cy="216000"/>
        </a:xfrm>
        <a:prstGeom prst="homePlate">
          <a:avLst/>
        </a:prstGeom>
        <a:solidFill>
          <a:srgbClr val="0062C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Afspiegelen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xdr:colOff>
      <xdr:row>3</xdr:row>
      <xdr:rowOff>72540</xdr:rowOff>
    </xdr:from>
    <xdr:to>
      <xdr:col>2</xdr:col>
      <xdr:colOff>281940</xdr:colOff>
      <xdr:row>4</xdr:row>
      <xdr:rowOff>126510</xdr:rowOff>
    </xdr:to>
    <xdr:sp macro="" textlink="">
      <xdr:nvSpPr>
        <xdr:cNvPr id="113" name="Rechthoek 112">
          <a:hlinkClick xmlns:r="http://schemas.openxmlformats.org/officeDocument/2006/relationships" r:id="rId1"/>
          <a:extLst>
            <a:ext uri="{FF2B5EF4-FFF2-40B4-BE49-F238E27FC236}">
              <a16:creationId xmlns:a16="http://schemas.microsoft.com/office/drawing/2014/main" id="{00000000-0008-0000-0A00-000071000000}"/>
            </a:ext>
          </a:extLst>
        </xdr:cNvPr>
        <xdr:cNvSpPr/>
      </xdr:nvSpPr>
      <xdr:spPr>
        <a:xfrm>
          <a:off x="167640" y="90312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2</xdr:col>
      <xdr:colOff>325755</xdr:colOff>
      <xdr:row>3</xdr:row>
      <xdr:rowOff>72540</xdr:rowOff>
    </xdr:from>
    <xdr:to>
      <xdr:col>3</xdr:col>
      <xdr:colOff>253365</xdr:colOff>
      <xdr:row>4</xdr:row>
      <xdr:rowOff>126510</xdr:rowOff>
    </xdr:to>
    <xdr:sp macro="" textlink="">
      <xdr:nvSpPr>
        <xdr:cNvPr id="114" name="Rechthoek 113">
          <a:hlinkClick xmlns:r="http://schemas.openxmlformats.org/officeDocument/2006/relationships" r:id="rId2"/>
          <a:extLst>
            <a:ext uri="{FF2B5EF4-FFF2-40B4-BE49-F238E27FC236}">
              <a16:creationId xmlns:a16="http://schemas.microsoft.com/office/drawing/2014/main" id="{00000000-0008-0000-0A00-000072000000}"/>
            </a:ext>
          </a:extLst>
        </xdr:cNvPr>
        <xdr:cNvSpPr/>
      </xdr:nvSpPr>
      <xdr:spPr>
        <a:xfrm>
          <a:off x="1125855" y="90312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3</xdr:col>
      <xdr:colOff>297180</xdr:colOff>
      <xdr:row>3</xdr:row>
      <xdr:rowOff>72540</xdr:rowOff>
    </xdr:from>
    <xdr:to>
      <xdr:col>5</xdr:col>
      <xdr:colOff>72390</xdr:colOff>
      <xdr:row>4</xdr:row>
      <xdr:rowOff>126510</xdr:rowOff>
    </xdr:to>
    <xdr:sp macro="" textlink="">
      <xdr:nvSpPr>
        <xdr:cNvPr id="115" name="Rechthoek 114">
          <a:hlinkClick xmlns:r="http://schemas.openxmlformats.org/officeDocument/2006/relationships" r:id="rId3"/>
          <a:extLst>
            <a:ext uri="{FF2B5EF4-FFF2-40B4-BE49-F238E27FC236}">
              <a16:creationId xmlns:a16="http://schemas.microsoft.com/office/drawing/2014/main" id="{00000000-0008-0000-0A00-000073000000}"/>
            </a:ext>
          </a:extLst>
        </xdr:cNvPr>
        <xdr:cNvSpPr/>
      </xdr:nvSpPr>
      <xdr:spPr>
        <a:xfrm>
          <a:off x="1737360" y="90312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1</xdr:col>
      <xdr:colOff>617221</xdr:colOff>
      <xdr:row>0</xdr:row>
      <xdr:rowOff>87630</xdr:rowOff>
    </xdr:from>
    <xdr:to>
      <xdr:col>5</xdr:col>
      <xdr:colOff>79945</xdr:colOff>
      <xdr:row>2</xdr:row>
      <xdr:rowOff>140880</xdr:rowOff>
    </xdr:to>
    <xdr:pic>
      <xdr:nvPicPr>
        <xdr:cNvPr id="116" name="Afbeelding 115">
          <a:hlinkClick xmlns:r="http://schemas.openxmlformats.org/officeDocument/2006/relationships" r:id="rId4"/>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7241" y="8763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1</xdr:col>
      <xdr:colOff>15404</xdr:colOff>
      <xdr:row>0</xdr:row>
      <xdr:rowOff>87630</xdr:rowOff>
    </xdr:from>
    <xdr:to>
      <xdr:col>1</xdr:col>
      <xdr:colOff>582849</xdr:colOff>
      <xdr:row>2</xdr:row>
      <xdr:rowOff>140880</xdr:rowOff>
    </xdr:to>
    <xdr:pic>
      <xdr:nvPicPr>
        <xdr:cNvPr id="117" name="Afbeelding 116">
          <a:hlinkClick xmlns:r="http://schemas.openxmlformats.org/officeDocument/2006/relationships" r:id="rId6"/>
          <a:extLst>
            <a:ext uri="{FF2B5EF4-FFF2-40B4-BE49-F238E27FC236}">
              <a16:creationId xmlns:a16="http://schemas.microsoft.com/office/drawing/2014/main" id="{00000000-0008-0000-0A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5424" y="87630"/>
          <a:ext cx="567445" cy="720000"/>
        </a:xfrm>
        <a:prstGeom prst="rect">
          <a:avLst/>
        </a:prstGeom>
        <a:solidFill>
          <a:schemeClr val="accent1">
            <a:lumMod val="20000"/>
            <a:lumOff val="80000"/>
          </a:schemeClr>
        </a:solidFill>
        <a:effectLst>
          <a:outerShdw blurRad="50800" dist="38100" dir="2700000" algn="tl"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636270</xdr:colOff>
      <xdr:row>5</xdr:row>
      <xdr:rowOff>83970</xdr:rowOff>
    </xdr:from>
    <xdr:to>
      <xdr:col>4</xdr:col>
      <xdr:colOff>270510</xdr:colOff>
      <xdr:row>6</xdr:row>
      <xdr:rowOff>118890</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0B00-00000F000000}"/>
            </a:ext>
          </a:extLst>
        </xdr:cNvPr>
        <xdr:cNvSpPr/>
      </xdr:nvSpPr>
      <xdr:spPr>
        <a:xfrm>
          <a:off x="6953250" y="99837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4</xdr:col>
      <xdr:colOff>314325</xdr:colOff>
      <xdr:row>5</xdr:row>
      <xdr:rowOff>83970</xdr:rowOff>
    </xdr:from>
    <xdr:to>
      <xdr:col>5</xdr:col>
      <xdr:colOff>241935</xdr:colOff>
      <xdr:row>6</xdr:row>
      <xdr:rowOff>118890</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0B00-000010000000}"/>
            </a:ext>
          </a:extLst>
        </xdr:cNvPr>
        <xdr:cNvSpPr/>
      </xdr:nvSpPr>
      <xdr:spPr>
        <a:xfrm>
          <a:off x="7911465" y="99837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5</xdr:col>
      <xdr:colOff>285750</xdr:colOff>
      <xdr:row>5</xdr:row>
      <xdr:rowOff>83970</xdr:rowOff>
    </xdr:from>
    <xdr:to>
      <xdr:col>7</xdr:col>
      <xdr:colOff>60960</xdr:colOff>
      <xdr:row>6</xdr:row>
      <xdr:rowOff>118890</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0B00-000011000000}"/>
            </a:ext>
          </a:extLst>
        </xdr:cNvPr>
        <xdr:cNvSpPr/>
      </xdr:nvSpPr>
      <xdr:spPr>
        <a:xfrm>
          <a:off x="8522970" y="99837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3</xdr:col>
      <xdr:colOff>605791</xdr:colOff>
      <xdr:row>1</xdr:row>
      <xdr:rowOff>0</xdr:rowOff>
    </xdr:from>
    <xdr:to>
      <xdr:col>7</xdr:col>
      <xdr:colOff>68515</xdr:colOff>
      <xdr:row>4</xdr:row>
      <xdr:rowOff>171360</xdr:rowOff>
    </xdr:to>
    <xdr:pic>
      <xdr:nvPicPr>
        <xdr:cNvPr id="20" name="Afbeelding 19">
          <a:hlinkClick xmlns:r="http://schemas.openxmlformats.org/officeDocument/2006/relationships" r:id="rId4"/>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62851" y="18288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3</xdr:col>
      <xdr:colOff>3974</xdr:colOff>
      <xdr:row>1</xdr:row>
      <xdr:rowOff>0</xdr:rowOff>
    </xdr:from>
    <xdr:to>
      <xdr:col>3</xdr:col>
      <xdr:colOff>571419</xdr:colOff>
      <xdr:row>4</xdr:row>
      <xdr:rowOff>171360</xdr:rowOff>
    </xdr:to>
    <xdr:pic>
      <xdr:nvPicPr>
        <xdr:cNvPr id="21" name="Afbeelding 20">
          <a:hlinkClick xmlns:r="http://schemas.openxmlformats.org/officeDocument/2006/relationships" r:id="rId6"/>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61034" y="18288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3810</xdr:colOff>
      <xdr:row>4</xdr:row>
      <xdr:rowOff>83970</xdr:rowOff>
    </xdr:from>
    <xdr:to>
      <xdr:col>3</xdr:col>
      <xdr:colOff>270510</xdr:colOff>
      <xdr:row>5</xdr:row>
      <xdr:rowOff>118890</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4110" y="815490"/>
          <a:ext cx="90678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3</xdr:col>
      <xdr:colOff>314325</xdr:colOff>
      <xdr:row>4</xdr:row>
      <xdr:rowOff>83970</xdr:rowOff>
    </xdr:from>
    <xdr:to>
      <xdr:col>4</xdr:col>
      <xdr:colOff>241935</xdr:colOff>
      <xdr:row>5</xdr:row>
      <xdr:rowOff>118890</xdr:rowOff>
    </xdr:to>
    <xdr:sp macro="" textlink="">
      <xdr:nvSpPr>
        <xdr:cNvPr id="3" name="Rechthoek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7911465" y="99837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4</xdr:col>
      <xdr:colOff>285750</xdr:colOff>
      <xdr:row>4</xdr:row>
      <xdr:rowOff>83970</xdr:rowOff>
    </xdr:from>
    <xdr:to>
      <xdr:col>6</xdr:col>
      <xdr:colOff>60960</xdr:colOff>
      <xdr:row>5</xdr:row>
      <xdr:rowOff>118890</xdr:rowOff>
    </xdr:to>
    <xdr:sp macro="" textlink="">
      <xdr:nvSpPr>
        <xdr:cNvPr id="4" name="Rechthoek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a:xfrm>
          <a:off x="8522970" y="99837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2</xdr:col>
      <xdr:colOff>605791</xdr:colOff>
      <xdr:row>0</xdr:row>
      <xdr:rowOff>0</xdr:rowOff>
    </xdr:from>
    <xdr:to>
      <xdr:col>6</xdr:col>
      <xdr:colOff>68515</xdr:colOff>
      <xdr:row>3</xdr:row>
      <xdr:rowOff>171360</xdr:rowOff>
    </xdr:to>
    <xdr:pic>
      <xdr:nvPicPr>
        <xdr:cNvPr id="5" name="Afbeelding 4">
          <a:hlinkClick xmlns:r="http://schemas.openxmlformats.org/officeDocument/2006/relationships" r:id="rId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62851" y="18288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2</xdr:col>
      <xdr:colOff>3974</xdr:colOff>
      <xdr:row>0</xdr:row>
      <xdr:rowOff>0</xdr:rowOff>
    </xdr:from>
    <xdr:to>
      <xdr:col>2</xdr:col>
      <xdr:colOff>571419</xdr:colOff>
      <xdr:row>3</xdr:row>
      <xdr:rowOff>171360</xdr:rowOff>
    </xdr:to>
    <xdr:pic>
      <xdr:nvPicPr>
        <xdr:cNvPr id="6" name="Afbeelding 5">
          <a:hlinkClick xmlns:r="http://schemas.openxmlformats.org/officeDocument/2006/relationships" r:id="rId6"/>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61034" y="18288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441960</xdr:colOff>
      <xdr:row>28</xdr:row>
      <xdr:rowOff>224790</xdr:rowOff>
    </xdr:from>
    <xdr:to>
      <xdr:col>5</xdr:col>
      <xdr:colOff>49530</xdr:colOff>
      <xdr:row>30</xdr:row>
      <xdr:rowOff>133350</xdr:rowOff>
    </xdr:to>
    <xdr:sp macro="" textlink="">
      <xdr:nvSpPr>
        <xdr:cNvPr id="4" name="Pijl: vijfhoek 3">
          <a:extLst>
            <a:ext uri="{FF2B5EF4-FFF2-40B4-BE49-F238E27FC236}">
              <a16:creationId xmlns:a16="http://schemas.microsoft.com/office/drawing/2014/main" id="{00000000-0008-0000-0D00-000004000000}"/>
            </a:ext>
          </a:extLst>
        </xdr:cNvPr>
        <xdr:cNvSpPr/>
      </xdr:nvSpPr>
      <xdr:spPr>
        <a:xfrm>
          <a:off x="803910" y="5223510"/>
          <a:ext cx="1863090" cy="34671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nl-NL" sz="1100">
              <a:solidFill>
                <a:schemeClr val="lt1"/>
              </a:solidFill>
              <a:latin typeface="+mn-lt"/>
              <a:ea typeface="+mn-ea"/>
              <a:cs typeface="+mn-cs"/>
            </a:rPr>
            <a:t>2. Gegevens werkgever</a:t>
          </a:r>
        </a:p>
      </xdr:txBody>
    </xdr:sp>
    <xdr:clientData/>
  </xdr:twoCellAnchor>
  <xdr:twoCellAnchor>
    <xdr:from>
      <xdr:col>1</xdr:col>
      <xdr:colOff>64770</xdr:colOff>
      <xdr:row>23</xdr:row>
      <xdr:rowOff>137160</xdr:rowOff>
    </xdr:from>
    <xdr:to>
      <xdr:col>3</xdr:col>
      <xdr:colOff>11430</xdr:colOff>
      <xdr:row>25</xdr:row>
      <xdr:rowOff>45720</xdr:rowOff>
    </xdr:to>
    <xdr:sp macro="" textlink="">
      <xdr:nvSpPr>
        <xdr:cNvPr id="10" name="Pijl: vijfhoek 9">
          <a:extLst>
            <a:ext uri="{FF2B5EF4-FFF2-40B4-BE49-F238E27FC236}">
              <a16:creationId xmlns:a16="http://schemas.microsoft.com/office/drawing/2014/main" id="{00000000-0008-0000-0D00-00000A000000}"/>
            </a:ext>
          </a:extLst>
        </xdr:cNvPr>
        <xdr:cNvSpPr/>
      </xdr:nvSpPr>
      <xdr:spPr>
        <a:xfrm>
          <a:off x="426720" y="4206240"/>
          <a:ext cx="1074420" cy="34671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1. </a:t>
          </a:r>
          <a:r>
            <a:rPr lang="nl-NL" sz="1100">
              <a:solidFill>
                <a:schemeClr val="lt1"/>
              </a:solidFill>
              <a:latin typeface="+mn-lt"/>
              <a:ea typeface="+mn-ea"/>
              <a:cs typeface="+mn-cs"/>
            </a:rPr>
            <a:t>Inleiding</a:t>
          </a:r>
        </a:p>
      </xdr:txBody>
    </xdr:sp>
    <xdr:clientData/>
  </xdr:twoCellAnchor>
  <xdr:twoCellAnchor>
    <xdr:from>
      <xdr:col>1</xdr:col>
      <xdr:colOff>64770</xdr:colOff>
      <xdr:row>28</xdr:row>
      <xdr:rowOff>224790</xdr:rowOff>
    </xdr:from>
    <xdr:to>
      <xdr:col>1</xdr:col>
      <xdr:colOff>434340</xdr:colOff>
      <xdr:row>30</xdr:row>
      <xdr:rowOff>144780</xdr:rowOff>
    </xdr:to>
    <xdr:sp macro="" textlink="">
      <xdr:nvSpPr>
        <xdr:cNvPr id="7" name="Rechthoek 6">
          <a:extLst>
            <a:ext uri="{FF2B5EF4-FFF2-40B4-BE49-F238E27FC236}">
              <a16:creationId xmlns:a16="http://schemas.microsoft.com/office/drawing/2014/main" id="{00000000-0008-0000-0D00-000007000000}"/>
            </a:ext>
          </a:extLst>
        </xdr:cNvPr>
        <xdr:cNvSpPr/>
      </xdr:nvSpPr>
      <xdr:spPr>
        <a:xfrm>
          <a:off x="426720" y="522351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1</a:t>
          </a:r>
        </a:p>
      </xdr:txBody>
    </xdr:sp>
    <xdr:clientData/>
  </xdr:twoCellAnchor>
  <xdr:twoCellAnchor editAs="oneCell">
    <xdr:from>
      <xdr:col>20</xdr:col>
      <xdr:colOff>26670</xdr:colOff>
      <xdr:row>70</xdr:row>
      <xdr:rowOff>0</xdr:rowOff>
    </xdr:from>
    <xdr:to>
      <xdr:col>20</xdr:col>
      <xdr:colOff>213360</xdr:colOff>
      <xdr:row>71</xdr:row>
      <xdr:rowOff>38954</xdr:rowOff>
    </xdr:to>
    <xdr:pic>
      <xdr:nvPicPr>
        <xdr:cNvPr id="11" name="Afbeelding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50930" y="27730231"/>
          <a:ext cx="186690" cy="202784"/>
        </a:xfrm>
        <a:prstGeom prst="rect">
          <a:avLst/>
        </a:prstGeom>
      </xdr:spPr>
    </xdr:pic>
    <xdr:clientData/>
  </xdr:twoCellAnchor>
  <xdr:twoCellAnchor>
    <xdr:from>
      <xdr:col>1</xdr:col>
      <xdr:colOff>441960</xdr:colOff>
      <xdr:row>94</xdr:row>
      <xdr:rowOff>224790</xdr:rowOff>
    </xdr:from>
    <xdr:to>
      <xdr:col>5</xdr:col>
      <xdr:colOff>49530</xdr:colOff>
      <xdr:row>96</xdr:row>
      <xdr:rowOff>133350</xdr:rowOff>
    </xdr:to>
    <xdr:sp macro="" textlink="">
      <xdr:nvSpPr>
        <xdr:cNvPr id="69" name="Pijl: vijfhoek 68">
          <a:extLst>
            <a:ext uri="{FF2B5EF4-FFF2-40B4-BE49-F238E27FC236}">
              <a16:creationId xmlns:a16="http://schemas.microsoft.com/office/drawing/2014/main" id="{00000000-0008-0000-0D00-000045000000}"/>
            </a:ext>
          </a:extLst>
        </xdr:cNvPr>
        <xdr:cNvSpPr/>
      </xdr:nvSpPr>
      <xdr:spPr>
        <a:xfrm>
          <a:off x="803910" y="33954720"/>
          <a:ext cx="1863090" cy="34671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nl-NL" sz="1100">
              <a:solidFill>
                <a:schemeClr val="lt1"/>
              </a:solidFill>
              <a:latin typeface="+mn-lt"/>
              <a:ea typeface="+mn-ea"/>
              <a:cs typeface="+mn-cs"/>
            </a:rPr>
            <a:t>2. Gegevens werkgever</a:t>
          </a:r>
        </a:p>
      </xdr:txBody>
    </xdr:sp>
    <xdr:clientData/>
  </xdr:twoCellAnchor>
  <xdr:twoCellAnchor>
    <xdr:from>
      <xdr:col>1</xdr:col>
      <xdr:colOff>64770</xdr:colOff>
      <xdr:row>89</xdr:row>
      <xdr:rowOff>137160</xdr:rowOff>
    </xdr:from>
    <xdr:to>
      <xdr:col>3</xdr:col>
      <xdr:colOff>11430</xdr:colOff>
      <xdr:row>91</xdr:row>
      <xdr:rowOff>45720</xdr:rowOff>
    </xdr:to>
    <xdr:sp macro="" textlink="">
      <xdr:nvSpPr>
        <xdr:cNvPr id="70" name="Pijl: vijfhoek 69">
          <a:extLst>
            <a:ext uri="{FF2B5EF4-FFF2-40B4-BE49-F238E27FC236}">
              <a16:creationId xmlns:a16="http://schemas.microsoft.com/office/drawing/2014/main" id="{00000000-0008-0000-0D00-000046000000}"/>
            </a:ext>
          </a:extLst>
        </xdr:cNvPr>
        <xdr:cNvSpPr/>
      </xdr:nvSpPr>
      <xdr:spPr>
        <a:xfrm>
          <a:off x="426720" y="4880610"/>
          <a:ext cx="1074420" cy="34671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1. </a:t>
          </a:r>
          <a:r>
            <a:rPr lang="nl-NL" sz="1100">
              <a:solidFill>
                <a:schemeClr val="lt1"/>
              </a:solidFill>
              <a:latin typeface="+mn-lt"/>
              <a:ea typeface="+mn-ea"/>
              <a:cs typeface="+mn-cs"/>
            </a:rPr>
            <a:t>Inleiding</a:t>
          </a:r>
        </a:p>
      </xdr:txBody>
    </xdr:sp>
    <xdr:clientData/>
  </xdr:twoCellAnchor>
  <xdr:twoCellAnchor>
    <xdr:from>
      <xdr:col>1</xdr:col>
      <xdr:colOff>64770</xdr:colOff>
      <xdr:row>94</xdr:row>
      <xdr:rowOff>224790</xdr:rowOff>
    </xdr:from>
    <xdr:to>
      <xdr:col>1</xdr:col>
      <xdr:colOff>434340</xdr:colOff>
      <xdr:row>96</xdr:row>
      <xdr:rowOff>144780</xdr:rowOff>
    </xdr:to>
    <xdr:sp macro="" textlink="">
      <xdr:nvSpPr>
        <xdr:cNvPr id="71" name="Rechthoek 70">
          <a:extLst>
            <a:ext uri="{FF2B5EF4-FFF2-40B4-BE49-F238E27FC236}">
              <a16:creationId xmlns:a16="http://schemas.microsoft.com/office/drawing/2014/main" id="{00000000-0008-0000-0D00-000047000000}"/>
            </a:ext>
          </a:extLst>
        </xdr:cNvPr>
        <xdr:cNvSpPr/>
      </xdr:nvSpPr>
      <xdr:spPr>
        <a:xfrm>
          <a:off x="426720" y="3395472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1</a:t>
          </a:r>
        </a:p>
      </xdr:txBody>
    </xdr:sp>
    <xdr:clientData/>
  </xdr:twoCellAnchor>
  <xdr:twoCellAnchor>
    <xdr:from>
      <xdr:col>2</xdr:col>
      <xdr:colOff>175260</xdr:colOff>
      <xdr:row>103</xdr:row>
      <xdr:rowOff>0</xdr:rowOff>
    </xdr:from>
    <xdr:to>
      <xdr:col>5</xdr:col>
      <xdr:colOff>346710</xdr:colOff>
      <xdr:row>105</xdr:row>
      <xdr:rowOff>19050</xdr:rowOff>
    </xdr:to>
    <xdr:sp macro="" textlink="">
      <xdr:nvSpPr>
        <xdr:cNvPr id="46" name="Pijl: vijfhoek 45">
          <a:extLst>
            <a:ext uri="{FF2B5EF4-FFF2-40B4-BE49-F238E27FC236}">
              <a16:creationId xmlns:a16="http://schemas.microsoft.com/office/drawing/2014/main" id="{00000000-0008-0000-0D00-00002E000000}"/>
            </a:ext>
          </a:extLst>
        </xdr:cNvPr>
        <xdr:cNvSpPr/>
      </xdr:nvSpPr>
      <xdr:spPr>
        <a:xfrm>
          <a:off x="1101090" y="35444430"/>
          <a:ext cx="1863090" cy="34671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nl-NL" sz="1100">
              <a:solidFill>
                <a:schemeClr val="lt1"/>
              </a:solidFill>
              <a:latin typeface="+mn-lt"/>
              <a:ea typeface="+mn-ea"/>
              <a:cs typeface="+mn-cs"/>
            </a:rPr>
            <a:t>3. Gegevens werknemer</a:t>
          </a:r>
        </a:p>
      </xdr:txBody>
    </xdr:sp>
    <xdr:clientData/>
  </xdr:twoCellAnchor>
  <xdr:twoCellAnchor>
    <xdr:from>
      <xdr:col>1</xdr:col>
      <xdr:colOff>11430</xdr:colOff>
      <xdr:row>103</xdr:row>
      <xdr:rowOff>0</xdr:rowOff>
    </xdr:from>
    <xdr:to>
      <xdr:col>1</xdr:col>
      <xdr:colOff>381000</xdr:colOff>
      <xdr:row>105</xdr:row>
      <xdr:rowOff>30480</xdr:rowOff>
    </xdr:to>
    <xdr:sp macro="" textlink="">
      <xdr:nvSpPr>
        <xdr:cNvPr id="47" name="Rechthoek 46">
          <a:extLst>
            <a:ext uri="{FF2B5EF4-FFF2-40B4-BE49-F238E27FC236}">
              <a16:creationId xmlns:a16="http://schemas.microsoft.com/office/drawing/2014/main" id="{00000000-0008-0000-0D00-00002F000000}"/>
            </a:ext>
          </a:extLst>
        </xdr:cNvPr>
        <xdr:cNvSpPr/>
      </xdr:nvSpPr>
      <xdr:spPr>
        <a:xfrm>
          <a:off x="373380" y="3544443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1</a:t>
          </a:r>
        </a:p>
      </xdr:txBody>
    </xdr:sp>
    <xdr:clientData/>
  </xdr:twoCellAnchor>
  <xdr:twoCellAnchor>
    <xdr:from>
      <xdr:col>1</xdr:col>
      <xdr:colOff>373380</xdr:colOff>
      <xdr:row>103</xdr:row>
      <xdr:rowOff>0</xdr:rowOff>
    </xdr:from>
    <xdr:to>
      <xdr:col>2</xdr:col>
      <xdr:colOff>179070</xdr:colOff>
      <xdr:row>105</xdr:row>
      <xdr:rowOff>30480</xdr:rowOff>
    </xdr:to>
    <xdr:sp macro="" textlink="">
      <xdr:nvSpPr>
        <xdr:cNvPr id="54" name="Rechthoek 53">
          <a:extLst>
            <a:ext uri="{FF2B5EF4-FFF2-40B4-BE49-F238E27FC236}">
              <a16:creationId xmlns:a16="http://schemas.microsoft.com/office/drawing/2014/main" id="{00000000-0008-0000-0D00-000036000000}"/>
            </a:ext>
          </a:extLst>
        </xdr:cNvPr>
        <xdr:cNvSpPr/>
      </xdr:nvSpPr>
      <xdr:spPr>
        <a:xfrm>
          <a:off x="735330" y="3544443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2</a:t>
          </a:r>
        </a:p>
      </xdr:txBody>
    </xdr:sp>
    <xdr:clientData/>
  </xdr:twoCellAnchor>
  <xdr:twoCellAnchor>
    <xdr:from>
      <xdr:col>3</xdr:col>
      <xdr:colOff>0</xdr:colOff>
      <xdr:row>125</xdr:row>
      <xdr:rowOff>0</xdr:rowOff>
    </xdr:from>
    <xdr:to>
      <xdr:col>6</xdr:col>
      <xdr:colOff>171450</xdr:colOff>
      <xdr:row>127</xdr:row>
      <xdr:rowOff>19050</xdr:rowOff>
    </xdr:to>
    <xdr:sp macro="" textlink="">
      <xdr:nvSpPr>
        <xdr:cNvPr id="55" name="Pijl: vijfhoek 54">
          <a:extLst>
            <a:ext uri="{FF2B5EF4-FFF2-40B4-BE49-F238E27FC236}">
              <a16:creationId xmlns:a16="http://schemas.microsoft.com/office/drawing/2014/main" id="{00000000-0008-0000-0D00-000037000000}"/>
            </a:ext>
          </a:extLst>
        </xdr:cNvPr>
        <xdr:cNvSpPr/>
      </xdr:nvSpPr>
      <xdr:spPr>
        <a:xfrm>
          <a:off x="1489710" y="39048690"/>
          <a:ext cx="1863090" cy="34671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nl-NL" sz="1100">
              <a:solidFill>
                <a:schemeClr val="lt1"/>
              </a:solidFill>
              <a:latin typeface="+mn-lt"/>
              <a:ea typeface="+mn-ea"/>
              <a:cs typeface="+mn-cs"/>
            </a:rPr>
            <a:t>4. Gegevens werkgever</a:t>
          </a:r>
        </a:p>
      </xdr:txBody>
    </xdr:sp>
    <xdr:clientData/>
  </xdr:twoCellAnchor>
  <xdr:twoCellAnchor>
    <xdr:from>
      <xdr:col>1</xdr:col>
      <xdr:colOff>0</xdr:colOff>
      <xdr:row>125</xdr:row>
      <xdr:rowOff>0</xdr:rowOff>
    </xdr:from>
    <xdr:to>
      <xdr:col>1</xdr:col>
      <xdr:colOff>369570</xdr:colOff>
      <xdr:row>127</xdr:row>
      <xdr:rowOff>30480</xdr:rowOff>
    </xdr:to>
    <xdr:sp macro="" textlink="">
      <xdr:nvSpPr>
        <xdr:cNvPr id="56" name="Rechthoek 55">
          <a:extLst>
            <a:ext uri="{FF2B5EF4-FFF2-40B4-BE49-F238E27FC236}">
              <a16:creationId xmlns:a16="http://schemas.microsoft.com/office/drawing/2014/main" id="{00000000-0008-0000-0D00-000038000000}"/>
            </a:ext>
          </a:extLst>
        </xdr:cNvPr>
        <xdr:cNvSpPr/>
      </xdr:nvSpPr>
      <xdr:spPr>
        <a:xfrm>
          <a:off x="361950" y="3904869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1</a:t>
          </a:r>
        </a:p>
      </xdr:txBody>
    </xdr:sp>
    <xdr:clientData/>
  </xdr:twoCellAnchor>
  <xdr:twoCellAnchor>
    <xdr:from>
      <xdr:col>1</xdr:col>
      <xdr:colOff>361950</xdr:colOff>
      <xdr:row>125</xdr:row>
      <xdr:rowOff>0</xdr:rowOff>
    </xdr:from>
    <xdr:to>
      <xdr:col>2</xdr:col>
      <xdr:colOff>167640</xdr:colOff>
      <xdr:row>127</xdr:row>
      <xdr:rowOff>30480</xdr:rowOff>
    </xdr:to>
    <xdr:sp macro="" textlink="">
      <xdr:nvSpPr>
        <xdr:cNvPr id="57" name="Rechthoek 56">
          <a:extLst>
            <a:ext uri="{FF2B5EF4-FFF2-40B4-BE49-F238E27FC236}">
              <a16:creationId xmlns:a16="http://schemas.microsoft.com/office/drawing/2014/main" id="{00000000-0008-0000-0D00-000039000000}"/>
            </a:ext>
          </a:extLst>
        </xdr:cNvPr>
        <xdr:cNvSpPr/>
      </xdr:nvSpPr>
      <xdr:spPr>
        <a:xfrm>
          <a:off x="723900" y="3904869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2</a:t>
          </a:r>
        </a:p>
      </xdr:txBody>
    </xdr:sp>
    <xdr:clientData/>
  </xdr:twoCellAnchor>
  <xdr:twoCellAnchor>
    <xdr:from>
      <xdr:col>2</xdr:col>
      <xdr:colOff>152400</xdr:colOff>
      <xdr:row>125</xdr:row>
      <xdr:rowOff>0</xdr:rowOff>
    </xdr:from>
    <xdr:to>
      <xdr:col>2</xdr:col>
      <xdr:colOff>521970</xdr:colOff>
      <xdr:row>127</xdr:row>
      <xdr:rowOff>30480</xdr:rowOff>
    </xdr:to>
    <xdr:sp macro="" textlink="">
      <xdr:nvSpPr>
        <xdr:cNvPr id="58" name="Rechthoek 57">
          <a:extLst>
            <a:ext uri="{FF2B5EF4-FFF2-40B4-BE49-F238E27FC236}">
              <a16:creationId xmlns:a16="http://schemas.microsoft.com/office/drawing/2014/main" id="{00000000-0008-0000-0D00-00003A000000}"/>
            </a:ext>
          </a:extLst>
        </xdr:cNvPr>
        <xdr:cNvSpPr/>
      </xdr:nvSpPr>
      <xdr:spPr>
        <a:xfrm>
          <a:off x="1078230" y="3904869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3.</a:t>
          </a:r>
        </a:p>
      </xdr:txBody>
    </xdr:sp>
    <xdr:clientData/>
  </xdr:twoCellAnchor>
  <xdr:oneCellAnchor>
    <xdr:from>
      <xdr:col>20</xdr:col>
      <xdr:colOff>26670</xdr:colOff>
      <xdr:row>139</xdr:row>
      <xdr:rowOff>0</xdr:rowOff>
    </xdr:from>
    <xdr:ext cx="186690" cy="202784"/>
    <xdr:pic>
      <xdr:nvPicPr>
        <xdr:cNvPr id="206" name="Afbeelding 205">
          <a:extLst>
            <a:ext uri="{FF2B5EF4-FFF2-40B4-BE49-F238E27FC236}">
              <a16:creationId xmlns:a16="http://schemas.microsoft.com/office/drawing/2014/main" id="{00000000-0008-0000-0D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50930" y="28088371"/>
          <a:ext cx="186690" cy="202784"/>
        </a:xfrm>
        <a:prstGeom prst="rect">
          <a:avLst/>
        </a:prstGeom>
      </xdr:spPr>
    </xdr:pic>
    <xdr:clientData/>
  </xdr:oneCellAnchor>
  <xdr:twoCellAnchor>
    <xdr:from>
      <xdr:col>1</xdr:col>
      <xdr:colOff>441960</xdr:colOff>
      <xdr:row>172</xdr:row>
      <xdr:rowOff>0</xdr:rowOff>
    </xdr:from>
    <xdr:to>
      <xdr:col>5</xdr:col>
      <xdr:colOff>49530</xdr:colOff>
      <xdr:row>173</xdr:row>
      <xdr:rowOff>133350</xdr:rowOff>
    </xdr:to>
    <xdr:sp macro="" textlink="">
      <xdr:nvSpPr>
        <xdr:cNvPr id="208" name="Pijl: vijfhoek 207">
          <a:extLst>
            <a:ext uri="{FF2B5EF4-FFF2-40B4-BE49-F238E27FC236}">
              <a16:creationId xmlns:a16="http://schemas.microsoft.com/office/drawing/2014/main" id="{00000000-0008-0000-0D00-0000D0000000}"/>
            </a:ext>
          </a:extLst>
        </xdr:cNvPr>
        <xdr:cNvSpPr/>
      </xdr:nvSpPr>
      <xdr:spPr>
        <a:xfrm>
          <a:off x="803910" y="75990450"/>
          <a:ext cx="1863090" cy="29718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nl-NL" sz="1100">
              <a:solidFill>
                <a:schemeClr val="lt1"/>
              </a:solidFill>
              <a:latin typeface="+mn-lt"/>
              <a:ea typeface="+mn-ea"/>
              <a:cs typeface="+mn-cs"/>
            </a:rPr>
            <a:t>2. Typering werkgever</a:t>
          </a:r>
        </a:p>
      </xdr:txBody>
    </xdr:sp>
    <xdr:clientData/>
  </xdr:twoCellAnchor>
  <xdr:twoCellAnchor>
    <xdr:from>
      <xdr:col>1</xdr:col>
      <xdr:colOff>64770</xdr:colOff>
      <xdr:row>160</xdr:row>
      <xdr:rowOff>80010</xdr:rowOff>
    </xdr:from>
    <xdr:to>
      <xdr:col>3</xdr:col>
      <xdr:colOff>53340</xdr:colOff>
      <xdr:row>162</xdr:row>
      <xdr:rowOff>45720</xdr:rowOff>
    </xdr:to>
    <xdr:sp macro="" textlink="">
      <xdr:nvSpPr>
        <xdr:cNvPr id="209" name="Pijl: vijfhoek 208">
          <a:extLst>
            <a:ext uri="{FF2B5EF4-FFF2-40B4-BE49-F238E27FC236}">
              <a16:creationId xmlns:a16="http://schemas.microsoft.com/office/drawing/2014/main" id="{00000000-0008-0000-0D00-0000D1000000}"/>
            </a:ext>
          </a:extLst>
        </xdr:cNvPr>
        <xdr:cNvSpPr/>
      </xdr:nvSpPr>
      <xdr:spPr>
        <a:xfrm>
          <a:off x="426720" y="73136760"/>
          <a:ext cx="1116330" cy="29337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1. </a:t>
          </a:r>
          <a:r>
            <a:rPr lang="nl-NL" sz="1100">
              <a:solidFill>
                <a:schemeClr val="lt1"/>
              </a:solidFill>
              <a:latin typeface="+mn-lt"/>
              <a:ea typeface="+mn-ea"/>
              <a:cs typeface="+mn-cs"/>
            </a:rPr>
            <a:t>Inleiding</a:t>
          </a:r>
        </a:p>
      </xdr:txBody>
    </xdr:sp>
    <xdr:clientData/>
  </xdr:twoCellAnchor>
  <xdr:twoCellAnchor>
    <xdr:from>
      <xdr:col>1</xdr:col>
      <xdr:colOff>64770</xdr:colOff>
      <xdr:row>172</xdr:row>
      <xdr:rowOff>0</xdr:rowOff>
    </xdr:from>
    <xdr:to>
      <xdr:col>1</xdr:col>
      <xdr:colOff>434340</xdr:colOff>
      <xdr:row>173</xdr:row>
      <xdr:rowOff>144780</xdr:rowOff>
    </xdr:to>
    <xdr:sp macro="" textlink="">
      <xdr:nvSpPr>
        <xdr:cNvPr id="210" name="Rechthoek 209">
          <a:extLst>
            <a:ext uri="{FF2B5EF4-FFF2-40B4-BE49-F238E27FC236}">
              <a16:creationId xmlns:a16="http://schemas.microsoft.com/office/drawing/2014/main" id="{00000000-0008-0000-0D00-0000D2000000}"/>
            </a:ext>
          </a:extLst>
        </xdr:cNvPr>
        <xdr:cNvSpPr/>
      </xdr:nvSpPr>
      <xdr:spPr>
        <a:xfrm>
          <a:off x="426720" y="75990450"/>
          <a:ext cx="369570" cy="30861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1</a:t>
          </a:r>
        </a:p>
      </xdr:txBody>
    </xdr:sp>
    <xdr:clientData/>
  </xdr:twoCellAnchor>
  <xdr:twoCellAnchor>
    <xdr:from>
      <xdr:col>1</xdr:col>
      <xdr:colOff>0</xdr:colOff>
      <xdr:row>180</xdr:row>
      <xdr:rowOff>0</xdr:rowOff>
    </xdr:from>
    <xdr:to>
      <xdr:col>1</xdr:col>
      <xdr:colOff>369570</xdr:colOff>
      <xdr:row>182</xdr:row>
      <xdr:rowOff>30480</xdr:rowOff>
    </xdr:to>
    <xdr:sp macro="" textlink="">
      <xdr:nvSpPr>
        <xdr:cNvPr id="223" name="Rechthoek 222">
          <a:extLst>
            <a:ext uri="{FF2B5EF4-FFF2-40B4-BE49-F238E27FC236}">
              <a16:creationId xmlns:a16="http://schemas.microsoft.com/office/drawing/2014/main" id="{00000000-0008-0000-0D00-0000DF000000}"/>
            </a:ext>
          </a:extLst>
        </xdr:cNvPr>
        <xdr:cNvSpPr/>
      </xdr:nvSpPr>
      <xdr:spPr>
        <a:xfrm>
          <a:off x="361950" y="7735824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1</a:t>
          </a:r>
        </a:p>
      </xdr:txBody>
    </xdr:sp>
    <xdr:clientData/>
  </xdr:twoCellAnchor>
  <xdr:twoCellAnchor>
    <xdr:from>
      <xdr:col>1</xdr:col>
      <xdr:colOff>361950</xdr:colOff>
      <xdr:row>180</xdr:row>
      <xdr:rowOff>0</xdr:rowOff>
    </xdr:from>
    <xdr:to>
      <xdr:col>2</xdr:col>
      <xdr:colOff>167640</xdr:colOff>
      <xdr:row>182</xdr:row>
      <xdr:rowOff>30480</xdr:rowOff>
    </xdr:to>
    <xdr:sp macro="" textlink="">
      <xdr:nvSpPr>
        <xdr:cNvPr id="224" name="Rechthoek 223">
          <a:extLst>
            <a:ext uri="{FF2B5EF4-FFF2-40B4-BE49-F238E27FC236}">
              <a16:creationId xmlns:a16="http://schemas.microsoft.com/office/drawing/2014/main" id="{00000000-0008-0000-0D00-0000E0000000}"/>
            </a:ext>
          </a:extLst>
        </xdr:cNvPr>
        <xdr:cNvSpPr/>
      </xdr:nvSpPr>
      <xdr:spPr>
        <a:xfrm>
          <a:off x="723900" y="7735824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2</a:t>
          </a:r>
        </a:p>
      </xdr:txBody>
    </xdr:sp>
    <xdr:clientData/>
  </xdr:twoCellAnchor>
  <xdr:twoCellAnchor>
    <xdr:from>
      <xdr:col>2</xdr:col>
      <xdr:colOff>152400</xdr:colOff>
      <xdr:row>180</xdr:row>
      <xdr:rowOff>0</xdr:rowOff>
    </xdr:from>
    <xdr:to>
      <xdr:col>2</xdr:col>
      <xdr:colOff>521970</xdr:colOff>
      <xdr:row>182</xdr:row>
      <xdr:rowOff>30480</xdr:rowOff>
    </xdr:to>
    <xdr:sp macro="" textlink="">
      <xdr:nvSpPr>
        <xdr:cNvPr id="225" name="Rechthoek 224">
          <a:extLst>
            <a:ext uri="{FF2B5EF4-FFF2-40B4-BE49-F238E27FC236}">
              <a16:creationId xmlns:a16="http://schemas.microsoft.com/office/drawing/2014/main" id="{00000000-0008-0000-0D00-0000E1000000}"/>
            </a:ext>
          </a:extLst>
        </xdr:cNvPr>
        <xdr:cNvSpPr/>
      </xdr:nvSpPr>
      <xdr:spPr>
        <a:xfrm>
          <a:off x="1078230" y="7735824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3.</a:t>
          </a:r>
        </a:p>
      </xdr:txBody>
    </xdr:sp>
    <xdr:clientData/>
  </xdr:twoCellAnchor>
  <xdr:twoCellAnchor>
    <xdr:from>
      <xdr:col>4</xdr:col>
      <xdr:colOff>99060</xdr:colOff>
      <xdr:row>180</xdr:row>
      <xdr:rowOff>0</xdr:rowOff>
    </xdr:from>
    <xdr:to>
      <xdr:col>8</xdr:col>
      <xdr:colOff>182880</xdr:colOff>
      <xdr:row>182</xdr:row>
      <xdr:rowOff>19050</xdr:rowOff>
    </xdr:to>
    <xdr:sp macro="" textlink="">
      <xdr:nvSpPr>
        <xdr:cNvPr id="226" name="Pijl: vijfhoek 225">
          <a:extLst>
            <a:ext uri="{FF2B5EF4-FFF2-40B4-BE49-F238E27FC236}">
              <a16:creationId xmlns:a16="http://schemas.microsoft.com/office/drawing/2014/main" id="{00000000-0008-0000-0D00-0000E2000000}"/>
            </a:ext>
          </a:extLst>
        </xdr:cNvPr>
        <xdr:cNvSpPr/>
      </xdr:nvSpPr>
      <xdr:spPr>
        <a:xfrm>
          <a:off x="2152650" y="77358240"/>
          <a:ext cx="2339340" cy="346710"/>
        </a:xfrm>
        <a:prstGeom prst="homePlate">
          <a:avLst/>
        </a:prstGeom>
        <a:solidFill>
          <a:srgbClr val="0062C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nl-NL" sz="1100">
              <a:solidFill>
                <a:schemeClr val="lt1"/>
              </a:solidFill>
              <a:latin typeface="+mn-lt"/>
              <a:ea typeface="+mn-ea"/>
              <a:cs typeface="+mn-cs"/>
            </a:rPr>
            <a:t>6. Wet</a:t>
          </a:r>
          <a:r>
            <a:rPr lang="nl-NL" sz="1100" baseline="0">
              <a:solidFill>
                <a:schemeClr val="lt1"/>
              </a:solidFill>
              <a:latin typeface="+mn-lt"/>
              <a:ea typeface="+mn-ea"/>
              <a:cs typeface="+mn-cs"/>
            </a:rPr>
            <a:t> Melding c</a:t>
          </a:r>
          <a:r>
            <a:rPr lang="nl-NL" sz="1100">
              <a:solidFill>
                <a:schemeClr val="lt1"/>
              </a:solidFill>
              <a:latin typeface="+mn-lt"/>
              <a:ea typeface="+mn-ea"/>
              <a:cs typeface="+mn-cs"/>
            </a:rPr>
            <a:t>ollectief ontslag</a:t>
          </a:r>
        </a:p>
      </xdr:txBody>
    </xdr:sp>
    <xdr:clientData/>
  </xdr:twoCellAnchor>
  <xdr:twoCellAnchor>
    <xdr:from>
      <xdr:col>2</xdr:col>
      <xdr:colOff>502920</xdr:colOff>
      <xdr:row>180</xdr:row>
      <xdr:rowOff>0</xdr:rowOff>
    </xdr:from>
    <xdr:to>
      <xdr:col>3</xdr:col>
      <xdr:colOff>308610</xdr:colOff>
      <xdr:row>182</xdr:row>
      <xdr:rowOff>30480</xdr:rowOff>
    </xdr:to>
    <xdr:sp macro="" textlink="">
      <xdr:nvSpPr>
        <xdr:cNvPr id="227" name="Rechthoek 226">
          <a:extLst>
            <a:ext uri="{FF2B5EF4-FFF2-40B4-BE49-F238E27FC236}">
              <a16:creationId xmlns:a16="http://schemas.microsoft.com/office/drawing/2014/main" id="{00000000-0008-0000-0D00-0000E3000000}"/>
            </a:ext>
          </a:extLst>
        </xdr:cNvPr>
        <xdr:cNvSpPr/>
      </xdr:nvSpPr>
      <xdr:spPr>
        <a:xfrm>
          <a:off x="1428750" y="7735824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4.</a:t>
          </a:r>
        </a:p>
      </xdr:txBody>
    </xdr:sp>
    <xdr:clientData/>
  </xdr:twoCellAnchor>
  <xdr:twoCellAnchor>
    <xdr:from>
      <xdr:col>3</xdr:col>
      <xdr:colOff>304800</xdr:colOff>
      <xdr:row>180</xdr:row>
      <xdr:rowOff>0</xdr:rowOff>
    </xdr:from>
    <xdr:to>
      <xdr:col>4</xdr:col>
      <xdr:colOff>110490</xdr:colOff>
      <xdr:row>182</xdr:row>
      <xdr:rowOff>30480</xdr:rowOff>
    </xdr:to>
    <xdr:sp macro="" textlink="">
      <xdr:nvSpPr>
        <xdr:cNvPr id="228" name="Rechthoek 227">
          <a:extLst>
            <a:ext uri="{FF2B5EF4-FFF2-40B4-BE49-F238E27FC236}">
              <a16:creationId xmlns:a16="http://schemas.microsoft.com/office/drawing/2014/main" id="{00000000-0008-0000-0D00-0000E4000000}"/>
            </a:ext>
          </a:extLst>
        </xdr:cNvPr>
        <xdr:cNvSpPr/>
      </xdr:nvSpPr>
      <xdr:spPr>
        <a:xfrm>
          <a:off x="1794510" y="77358240"/>
          <a:ext cx="369570" cy="358140"/>
        </a:xfrm>
        <a:prstGeom prst="rect">
          <a:avLst/>
        </a:prstGeom>
        <a:solidFill>
          <a:schemeClr val="bg1">
            <a:lumMod val="95000"/>
          </a:schemeClr>
        </a:solidFill>
        <a:ln>
          <a:noFill/>
        </a:ln>
        <a:effectLst>
          <a:innerShdw blurRad="50800" dist="25400" dir="13500000">
            <a:prstClr val="black">
              <a:alpha val="10000"/>
            </a:prstClr>
          </a:inn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ysClr val="windowText" lastClr="000000"/>
              </a:solidFill>
            </a:rPr>
            <a:t>5.</a:t>
          </a:r>
        </a:p>
      </xdr:txBody>
    </xdr:sp>
    <xdr:clientData/>
  </xdr:twoCellAnchor>
  <xdr:twoCellAnchor>
    <xdr:from>
      <xdr:col>8</xdr:col>
      <xdr:colOff>0</xdr:colOff>
      <xdr:row>4</xdr:row>
      <xdr:rowOff>11430</xdr:rowOff>
    </xdr:from>
    <xdr:to>
      <xdr:col>9</xdr:col>
      <xdr:colOff>640080</xdr:colOff>
      <xdr:row>4</xdr:row>
      <xdr:rowOff>228600</xdr:rowOff>
    </xdr:to>
    <xdr:sp macro="" textlink="">
      <xdr:nvSpPr>
        <xdr:cNvPr id="8" name="Pijl: vijfhoek 7">
          <a:hlinkClick xmlns:r="http://schemas.openxmlformats.org/officeDocument/2006/relationships" r:id="rId2"/>
          <a:extLst>
            <a:ext uri="{FF2B5EF4-FFF2-40B4-BE49-F238E27FC236}">
              <a16:creationId xmlns:a16="http://schemas.microsoft.com/office/drawing/2014/main" id="{00000000-0008-0000-0D00-000008000000}"/>
            </a:ext>
          </a:extLst>
        </xdr:cNvPr>
        <xdr:cNvSpPr/>
      </xdr:nvSpPr>
      <xdr:spPr>
        <a:xfrm>
          <a:off x="4309110" y="1047750"/>
          <a:ext cx="1203960" cy="217170"/>
        </a:xfrm>
        <a:prstGeom prst="homePlate">
          <a:avLst/>
        </a:prstGeom>
        <a:solidFill>
          <a:srgbClr val="0062C4"/>
        </a:solidFill>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Formulier A</a:t>
          </a:r>
        </a:p>
      </xdr:txBody>
    </xdr:sp>
    <xdr:clientData/>
  </xdr:twoCellAnchor>
  <xdr:twoCellAnchor>
    <xdr:from>
      <xdr:col>8</xdr:col>
      <xdr:colOff>0</xdr:colOff>
      <xdr:row>5</xdr:row>
      <xdr:rowOff>5715</xdr:rowOff>
    </xdr:from>
    <xdr:to>
      <xdr:col>9</xdr:col>
      <xdr:colOff>640080</xdr:colOff>
      <xdr:row>5</xdr:row>
      <xdr:rowOff>222885</xdr:rowOff>
    </xdr:to>
    <xdr:sp macro="" textlink="">
      <xdr:nvSpPr>
        <xdr:cNvPr id="604" name="Pijl: vijfhoek 603">
          <a:hlinkClick xmlns:r="http://schemas.openxmlformats.org/officeDocument/2006/relationships" r:id="rId3"/>
          <a:extLst>
            <a:ext uri="{FF2B5EF4-FFF2-40B4-BE49-F238E27FC236}">
              <a16:creationId xmlns:a16="http://schemas.microsoft.com/office/drawing/2014/main" id="{00000000-0008-0000-0D00-00005C020000}"/>
            </a:ext>
          </a:extLst>
        </xdr:cNvPr>
        <xdr:cNvSpPr/>
      </xdr:nvSpPr>
      <xdr:spPr>
        <a:xfrm>
          <a:off x="4309110" y="1285875"/>
          <a:ext cx="1203960" cy="217170"/>
        </a:xfrm>
        <a:prstGeom prst="homePlate">
          <a:avLst/>
        </a:prstGeom>
        <a:solidFill>
          <a:srgbClr val="0062C4"/>
        </a:solidFill>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Formulier B</a:t>
          </a:r>
        </a:p>
      </xdr:txBody>
    </xdr:sp>
    <xdr:clientData/>
  </xdr:twoCellAnchor>
  <xdr:twoCellAnchor>
    <xdr:from>
      <xdr:col>8</xdr:col>
      <xdr:colOff>0</xdr:colOff>
      <xdr:row>6</xdr:row>
      <xdr:rowOff>0</xdr:rowOff>
    </xdr:from>
    <xdr:to>
      <xdr:col>9</xdr:col>
      <xdr:colOff>640080</xdr:colOff>
      <xdr:row>6</xdr:row>
      <xdr:rowOff>217170</xdr:rowOff>
    </xdr:to>
    <xdr:sp macro="" textlink="">
      <xdr:nvSpPr>
        <xdr:cNvPr id="605" name="Pijl: vijfhoek 604">
          <a:hlinkClick xmlns:r="http://schemas.openxmlformats.org/officeDocument/2006/relationships" r:id="rId4"/>
          <a:extLst>
            <a:ext uri="{FF2B5EF4-FFF2-40B4-BE49-F238E27FC236}">
              <a16:creationId xmlns:a16="http://schemas.microsoft.com/office/drawing/2014/main" id="{00000000-0008-0000-0D00-00005D020000}"/>
            </a:ext>
          </a:extLst>
        </xdr:cNvPr>
        <xdr:cNvSpPr/>
      </xdr:nvSpPr>
      <xdr:spPr>
        <a:xfrm>
          <a:off x="4309110" y="1524000"/>
          <a:ext cx="1203960" cy="217170"/>
        </a:xfrm>
        <a:prstGeom prst="homePlate">
          <a:avLst/>
        </a:prstGeom>
        <a:solidFill>
          <a:srgbClr val="0062C4"/>
        </a:solidFill>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Formulier C</a:t>
          </a:r>
        </a:p>
      </xdr:txBody>
    </xdr:sp>
    <xdr:clientData/>
  </xdr:twoCellAnchor>
  <xdr:twoCellAnchor>
    <xdr:from>
      <xdr:col>6</xdr:col>
      <xdr:colOff>548640</xdr:colOff>
      <xdr:row>0</xdr:row>
      <xdr:rowOff>137159</xdr:rowOff>
    </xdr:from>
    <xdr:to>
      <xdr:col>17</xdr:col>
      <xdr:colOff>506730</xdr:colOff>
      <xdr:row>1</xdr:row>
      <xdr:rowOff>514349</xdr:rowOff>
    </xdr:to>
    <xdr:sp macro="" textlink="">
      <xdr:nvSpPr>
        <xdr:cNvPr id="610" name="Rechthoek 609">
          <a:extLst>
            <a:ext uri="{FF2B5EF4-FFF2-40B4-BE49-F238E27FC236}">
              <a16:creationId xmlns:a16="http://schemas.microsoft.com/office/drawing/2014/main" id="{00000000-0008-0000-0D00-000062020000}"/>
            </a:ext>
          </a:extLst>
        </xdr:cNvPr>
        <xdr:cNvSpPr/>
      </xdr:nvSpPr>
      <xdr:spPr>
        <a:xfrm>
          <a:off x="3729990" y="137159"/>
          <a:ext cx="6309360" cy="548640"/>
        </a:xfrm>
        <a:prstGeom prst="rect">
          <a:avLst/>
        </a:prstGeom>
        <a:solidFill>
          <a:srgbClr val="0062C4"/>
        </a:solidFill>
        <a:effectLst>
          <a:outerShdw blurRad="152400" dist="50800" dir="5400000" sx="90000" sy="-19000"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UWV-formulieren A, B en C</a:t>
          </a:r>
        </a:p>
      </xdr:txBody>
    </xdr:sp>
    <xdr:clientData/>
  </xdr:twoCellAnchor>
  <xdr:twoCellAnchor>
    <xdr:from>
      <xdr:col>14</xdr:col>
      <xdr:colOff>7620</xdr:colOff>
      <xdr:row>75</xdr:row>
      <xdr:rowOff>106680</xdr:rowOff>
    </xdr:from>
    <xdr:to>
      <xdr:col>15</xdr:col>
      <xdr:colOff>358140</xdr:colOff>
      <xdr:row>76</xdr:row>
      <xdr:rowOff>122850</xdr:rowOff>
    </xdr:to>
    <xdr:sp macro="" textlink="">
      <xdr:nvSpPr>
        <xdr:cNvPr id="620" name="Rechthoek 619">
          <a:hlinkClick xmlns:r="http://schemas.openxmlformats.org/officeDocument/2006/relationships" r:id="rId5"/>
          <a:extLst>
            <a:ext uri="{FF2B5EF4-FFF2-40B4-BE49-F238E27FC236}">
              <a16:creationId xmlns:a16="http://schemas.microsoft.com/office/drawing/2014/main" id="{00000000-0008-0000-0D00-00006C020000}"/>
            </a:ext>
          </a:extLst>
        </xdr:cNvPr>
        <xdr:cNvSpPr/>
      </xdr:nvSpPr>
      <xdr:spPr>
        <a:xfrm>
          <a:off x="7848600" y="33425130"/>
          <a:ext cx="914400" cy="1800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15</xdr:col>
      <xdr:colOff>401955</xdr:colOff>
      <xdr:row>75</xdr:row>
      <xdr:rowOff>106680</xdr:rowOff>
    </xdr:from>
    <xdr:to>
      <xdr:col>16</xdr:col>
      <xdr:colOff>405765</xdr:colOff>
      <xdr:row>76</xdr:row>
      <xdr:rowOff>122850</xdr:rowOff>
    </xdr:to>
    <xdr:sp macro="" textlink="">
      <xdr:nvSpPr>
        <xdr:cNvPr id="621" name="Rechthoek 620">
          <a:hlinkClick xmlns:r="http://schemas.openxmlformats.org/officeDocument/2006/relationships" r:id="rId6"/>
          <a:extLst>
            <a:ext uri="{FF2B5EF4-FFF2-40B4-BE49-F238E27FC236}">
              <a16:creationId xmlns:a16="http://schemas.microsoft.com/office/drawing/2014/main" id="{00000000-0008-0000-0D00-00006D020000}"/>
            </a:ext>
          </a:extLst>
        </xdr:cNvPr>
        <xdr:cNvSpPr/>
      </xdr:nvSpPr>
      <xdr:spPr>
        <a:xfrm>
          <a:off x="8806815" y="33425130"/>
          <a:ext cx="567690" cy="1800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16</xdr:col>
      <xdr:colOff>449580</xdr:colOff>
      <xdr:row>75</xdr:row>
      <xdr:rowOff>106680</xdr:rowOff>
    </xdr:from>
    <xdr:to>
      <xdr:col>18</xdr:col>
      <xdr:colOff>377190</xdr:colOff>
      <xdr:row>76</xdr:row>
      <xdr:rowOff>122850</xdr:rowOff>
    </xdr:to>
    <xdr:sp macro="" textlink="">
      <xdr:nvSpPr>
        <xdr:cNvPr id="622" name="Rechthoek 621">
          <a:hlinkClick xmlns:r="http://schemas.openxmlformats.org/officeDocument/2006/relationships" r:id="rId7"/>
          <a:extLst>
            <a:ext uri="{FF2B5EF4-FFF2-40B4-BE49-F238E27FC236}">
              <a16:creationId xmlns:a16="http://schemas.microsoft.com/office/drawing/2014/main" id="{00000000-0008-0000-0D00-00006E020000}"/>
            </a:ext>
          </a:extLst>
        </xdr:cNvPr>
        <xdr:cNvSpPr/>
      </xdr:nvSpPr>
      <xdr:spPr>
        <a:xfrm>
          <a:off x="9418320" y="33425130"/>
          <a:ext cx="1055370" cy="1800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xdr:from>
      <xdr:col>14</xdr:col>
      <xdr:colOff>41910</xdr:colOff>
      <xdr:row>144</xdr:row>
      <xdr:rowOff>110490</xdr:rowOff>
    </xdr:from>
    <xdr:to>
      <xdr:col>15</xdr:col>
      <xdr:colOff>392430</xdr:colOff>
      <xdr:row>145</xdr:row>
      <xdr:rowOff>126660</xdr:rowOff>
    </xdr:to>
    <xdr:sp macro="" textlink="">
      <xdr:nvSpPr>
        <xdr:cNvPr id="626" name="Rechthoek 625">
          <a:hlinkClick xmlns:r="http://schemas.openxmlformats.org/officeDocument/2006/relationships" r:id="rId5"/>
          <a:extLst>
            <a:ext uri="{FF2B5EF4-FFF2-40B4-BE49-F238E27FC236}">
              <a16:creationId xmlns:a16="http://schemas.microsoft.com/office/drawing/2014/main" id="{00000000-0008-0000-0D00-000072020000}"/>
            </a:ext>
          </a:extLst>
        </xdr:cNvPr>
        <xdr:cNvSpPr/>
      </xdr:nvSpPr>
      <xdr:spPr>
        <a:xfrm>
          <a:off x="7882890" y="74066400"/>
          <a:ext cx="914400" cy="1800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15</xdr:col>
      <xdr:colOff>436245</xdr:colOff>
      <xdr:row>144</xdr:row>
      <xdr:rowOff>110490</xdr:rowOff>
    </xdr:from>
    <xdr:to>
      <xdr:col>16</xdr:col>
      <xdr:colOff>440055</xdr:colOff>
      <xdr:row>145</xdr:row>
      <xdr:rowOff>126660</xdr:rowOff>
    </xdr:to>
    <xdr:sp macro="" textlink="">
      <xdr:nvSpPr>
        <xdr:cNvPr id="627" name="Rechthoek 626">
          <a:hlinkClick xmlns:r="http://schemas.openxmlformats.org/officeDocument/2006/relationships" r:id="rId6"/>
          <a:extLst>
            <a:ext uri="{FF2B5EF4-FFF2-40B4-BE49-F238E27FC236}">
              <a16:creationId xmlns:a16="http://schemas.microsoft.com/office/drawing/2014/main" id="{00000000-0008-0000-0D00-000073020000}"/>
            </a:ext>
          </a:extLst>
        </xdr:cNvPr>
        <xdr:cNvSpPr/>
      </xdr:nvSpPr>
      <xdr:spPr>
        <a:xfrm>
          <a:off x="8841105" y="74066400"/>
          <a:ext cx="567690" cy="1800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16</xdr:col>
      <xdr:colOff>483870</xdr:colOff>
      <xdr:row>144</xdr:row>
      <xdr:rowOff>110490</xdr:rowOff>
    </xdr:from>
    <xdr:to>
      <xdr:col>18</xdr:col>
      <xdr:colOff>411480</xdr:colOff>
      <xdr:row>145</xdr:row>
      <xdr:rowOff>126660</xdr:rowOff>
    </xdr:to>
    <xdr:sp macro="" textlink="">
      <xdr:nvSpPr>
        <xdr:cNvPr id="628" name="Rechthoek 627">
          <a:hlinkClick xmlns:r="http://schemas.openxmlformats.org/officeDocument/2006/relationships" r:id="rId7"/>
          <a:extLst>
            <a:ext uri="{FF2B5EF4-FFF2-40B4-BE49-F238E27FC236}">
              <a16:creationId xmlns:a16="http://schemas.microsoft.com/office/drawing/2014/main" id="{00000000-0008-0000-0D00-000074020000}"/>
            </a:ext>
          </a:extLst>
        </xdr:cNvPr>
        <xdr:cNvSpPr/>
      </xdr:nvSpPr>
      <xdr:spPr>
        <a:xfrm>
          <a:off x="9452610" y="74066400"/>
          <a:ext cx="1055370" cy="1800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xdr:from>
      <xdr:col>0</xdr:col>
      <xdr:colOff>152400</xdr:colOff>
      <xdr:row>2</xdr:row>
      <xdr:rowOff>160170</xdr:rowOff>
    </xdr:from>
    <xdr:to>
      <xdr:col>2</xdr:col>
      <xdr:colOff>140970</xdr:colOff>
      <xdr:row>4</xdr:row>
      <xdr:rowOff>50310</xdr:rowOff>
    </xdr:to>
    <xdr:sp macro="" textlink="">
      <xdr:nvSpPr>
        <xdr:cNvPr id="625" name="Rechthoek 624">
          <a:hlinkClick xmlns:r="http://schemas.openxmlformats.org/officeDocument/2006/relationships" r:id="rId5"/>
          <a:extLst>
            <a:ext uri="{FF2B5EF4-FFF2-40B4-BE49-F238E27FC236}">
              <a16:creationId xmlns:a16="http://schemas.microsoft.com/office/drawing/2014/main" id="{00000000-0008-0000-0D00-000071020000}"/>
            </a:ext>
          </a:extLst>
        </xdr:cNvPr>
        <xdr:cNvSpPr/>
      </xdr:nvSpPr>
      <xdr:spPr>
        <a:xfrm>
          <a:off x="152400" y="92979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2</xdr:col>
      <xdr:colOff>184785</xdr:colOff>
      <xdr:row>2</xdr:row>
      <xdr:rowOff>160170</xdr:rowOff>
    </xdr:from>
    <xdr:to>
      <xdr:col>3</xdr:col>
      <xdr:colOff>188595</xdr:colOff>
      <xdr:row>4</xdr:row>
      <xdr:rowOff>50310</xdr:rowOff>
    </xdr:to>
    <xdr:sp macro="" textlink="">
      <xdr:nvSpPr>
        <xdr:cNvPr id="650" name="Rechthoek 649">
          <a:hlinkClick xmlns:r="http://schemas.openxmlformats.org/officeDocument/2006/relationships" r:id="rId6"/>
          <a:extLst>
            <a:ext uri="{FF2B5EF4-FFF2-40B4-BE49-F238E27FC236}">
              <a16:creationId xmlns:a16="http://schemas.microsoft.com/office/drawing/2014/main" id="{00000000-0008-0000-0D00-00008A020000}"/>
            </a:ext>
          </a:extLst>
        </xdr:cNvPr>
        <xdr:cNvSpPr/>
      </xdr:nvSpPr>
      <xdr:spPr>
        <a:xfrm>
          <a:off x="1110615" y="92979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3</xdr:col>
      <xdr:colOff>232410</xdr:colOff>
      <xdr:row>2</xdr:row>
      <xdr:rowOff>160170</xdr:rowOff>
    </xdr:from>
    <xdr:to>
      <xdr:col>5</xdr:col>
      <xdr:colOff>160020</xdr:colOff>
      <xdr:row>4</xdr:row>
      <xdr:rowOff>50310</xdr:rowOff>
    </xdr:to>
    <xdr:sp macro="" textlink="">
      <xdr:nvSpPr>
        <xdr:cNvPr id="651" name="Rechthoek 650">
          <a:hlinkClick xmlns:r="http://schemas.openxmlformats.org/officeDocument/2006/relationships" r:id="rId7"/>
          <a:extLst>
            <a:ext uri="{FF2B5EF4-FFF2-40B4-BE49-F238E27FC236}">
              <a16:creationId xmlns:a16="http://schemas.microsoft.com/office/drawing/2014/main" id="{00000000-0008-0000-0D00-00008B020000}"/>
            </a:ext>
          </a:extLst>
        </xdr:cNvPr>
        <xdr:cNvSpPr/>
      </xdr:nvSpPr>
      <xdr:spPr>
        <a:xfrm>
          <a:off x="1722120" y="92979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1</xdr:col>
      <xdr:colOff>400051</xdr:colOff>
      <xdr:row>0</xdr:row>
      <xdr:rowOff>114300</xdr:rowOff>
    </xdr:from>
    <xdr:to>
      <xdr:col>5</xdr:col>
      <xdr:colOff>167575</xdr:colOff>
      <xdr:row>2</xdr:row>
      <xdr:rowOff>64680</xdr:rowOff>
    </xdr:to>
    <xdr:pic>
      <xdr:nvPicPr>
        <xdr:cNvPr id="652" name="Afbeelding 651">
          <a:hlinkClick xmlns:r="http://schemas.openxmlformats.org/officeDocument/2006/relationships" r:id="rId8"/>
          <a:extLst>
            <a:ext uri="{FF2B5EF4-FFF2-40B4-BE49-F238E27FC236}">
              <a16:creationId xmlns:a16="http://schemas.microsoft.com/office/drawing/2014/main" id="{00000000-0008-0000-0D00-00008C02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1" y="11430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0</xdr:col>
      <xdr:colOff>160184</xdr:colOff>
      <xdr:row>0</xdr:row>
      <xdr:rowOff>114300</xdr:rowOff>
    </xdr:from>
    <xdr:to>
      <xdr:col>1</xdr:col>
      <xdr:colOff>365679</xdr:colOff>
      <xdr:row>2</xdr:row>
      <xdr:rowOff>64680</xdr:rowOff>
    </xdr:to>
    <xdr:pic>
      <xdr:nvPicPr>
        <xdr:cNvPr id="665" name="Afbeelding 664">
          <a:hlinkClick xmlns:r="http://schemas.openxmlformats.org/officeDocument/2006/relationships" r:id="rId10"/>
          <a:extLst>
            <a:ext uri="{FF2B5EF4-FFF2-40B4-BE49-F238E27FC236}">
              <a16:creationId xmlns:a16="http://schemas.microsoft.com/office/drawing/2014/main" id="{00000000-0008-0000-0D00-00009902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0184" y="114300"/>
          <a:ext cx="567445" cy="720000"/>
        </a:xfrm>
        <a:prstGeom prst="rect">
          <a:avLst/>
        </a:prstGeom>
        <a:solidFill>
          <a:srgbClr val="DDEBF7"/>
        </a:solidFill>
        <a:effectLst>
          <a:outerShdw blurRad="50800" dist="38100" dir="2700000" algn="tl" rotWithShape="0">
            <a:prstClr val="black">
              <a:alpha val="40000"/>
            </a:prstClr>
          </a:outerShdw>
        </a:effec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4</xdr:row>
      <xdr:rowOff>175410</xdr:rowOff>
    </xdr:from>
    <xdr:to>
      <xdr:col>13</xdr:col>
      <xdr:colOff>274320</xdr:colOff>
      <xdr:row>6</xdr:row>
      <xdr:rowOff>27450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E00-00000A000000}"/>
            </a:ext>
          </a:extLst>
        </xdr:cNvPr>
        <xdr:cNvSpPr/>
      </xdr:nvSpPr>
      <xdr:spPr>
        <a:xfrm>
          <a:off x="9589770" y="99837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13</xdr:col>
      <xdr:colOff>318135</xdr:colOff>
      <xdr:row>4</xdr:row>
      <xdr:rowOff>175410</xdr:rowOff>
    </xdr:from>
    <xdr:to>
      <xdr:col>14</xdr:col>
      <xdr:colOff>245745</xdr:colOff>
      <xdr:row>6</xdr:row>
      <xdr:rowOff>27450</xdr:rowOff>
    </xdr:to>
    <xdr:sp macro="" textlink="">
      <xdr:nvSpPr>
        <xdr:cNvPr id="11" name="Rechthoek 10">
          <a:hlinkClick xmlns:r="http://schemas.openxmlformats.org/officeDocument/2006/relationships" r:id="rId2"/>
          <a:extLst>
            <a:ext uri="{FF2B5EF4-FFF2-40B4-BE49-F238E27FC236}">
              <a16:creationId xmlns:a16="http://schemas.microsoft.com/office/drawing/2014/main" id="{00000000-0008-0000-0E00-00000B000000}"/>
            </a:ext>
          </a:extLst>
        </xdr:cNvPr>
        <xdr:cNvSpPr/>
      </xdr:nvSpPr>
      <xdr:spPr>
        <a:xfrm>
          <a:off x="10547985" y="99837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14</xdr:col>
      <xdr:colOff>289560</xdr:colOff>
      <xdr:row>4</xdr:row>
      <xdr:rowOff>175410</xdr:rowOff>
    </xdr:from>
    <xdr:to>
      <xdr:col>16</xdr:col>
      <xdr:colOff>64770</xdr:colOff>
      <xdr:row>6</xdr:row>
      <xdr:rowOff>27450</xdr:rowOff>
    </xdr:to>
    <xdr:sp macro="" textlink="">
      <xdr:nvSpPr>
        <xdr:cNvPr id="12" name="Rechthoek 11">
          <a:hlinkClick xmlns:r="http://schemas.openxmlformats.org/officeDocument/2006/relationships" r:id="rId3"/>
          <a:extLst>
            <a:ext uri="{FF2B5EF4-FFF2-40B4-BE49-F238E27FC236}">
              <a16:creationId xmlns:a16="http://schemas.microsoft.com/office/drawing/2014/main" id="{00000000-0008-0000-0E00-00000C000000}"/>
            </a:ext>
          </a:extLst>
        </xdr:cNvPr>
        <xdr:cNvSpPr/>
      </xdr:nvSpPr>
      <xdr:spPr>
        <a:xfrm>
          <a:off x="11159490" y="99837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12</xdr:col>
      <xdr:colOff>609601</xdr:colOff>
      <xdr:row>1</xdr:row>
      <xdr:rowOff>0</xdr:rowOff>
    </xdr:from>
    <xdr:to>
      <xdr:col>16</xdr:col>
      <xdr:colOff>72325</xdr:colOff>
      <xdr:row>4</xdr:row>
      <xdr:rowOff>79920</xdr:rowOff>
    </xdr:to>
    <xdr:pic>
      <xdr:nvPicPr>
        <xdr:cNvPr id="13" name="Afbeelding 12">
          <a:hlinkClick xmlns:r="http://schemas.openxmlformats.org/officeDocument/2006/relationships" r:id="rId4"/>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99371" y="18288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12</xdr:col>
      <xdr:colOff>7784</xdr:colOff>
      <xdr:row>1</xdr:row>
      <xdr:rowOff>0</xdr:rowOff>
    </xdr:from>
    <xdr:to>
      <xdr:col>12</xdr:col>
      <xdr:colOff>575229</xdr:colOff>
      <xdr:row>4</xdr:row>
      <xdr:rowOff>79920</xdr:rowOff>
    </xdr:to>
    <xdr:pic>
      <xdr:nvPicPr>
        <xdr:cNvPr id="15" name="Afbeelding 14">
          <a:hlinkClick xmlns:r="http://schemas.openxmlformats.org/officeDocument/2006/relationships" r:id="rId6"/>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97554" y="18288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4</xdr:row>
      <xdr:rowOff>190650</xdr:rowOff>
    </xdr:from>
    <xdr:to>
      <xdr:col>5</xdr:col>
      <xdr:colOff>274320</xdr:colOff>
      <xdr:row>6</xdr:row>
      <xdr:rowOff>27450</xdr:rowOff>
    </xdr:to>
    <xdr:sp macro="" textlink="">
      <xdr:nvSpPr>
        <xdr:cNvPr id="11" name="Rechthoek 10">
          <a:hlinkClick xmlns:r="http://schemas.openxmlformats.org/officeDocument/2006/relationships" r:id="rId1"/>
          <a:extLst>
            <a:ext uri="{FF2B5EF4-FFF2-40B4-BE49-F238E27FC236}">
              <a16:creationId xmlns:a16="http://schemas.microsoft.com/office/drawing/2014/main" id="{00000000-0008-0000-0F00-00000B000000}"/>
            </a:ext>
          </a:extLst>
        </xdr:cNvPr>
        <xdr:cNvSpPr/>
      </xdr:nvSpPr>
      <xdr:spPr>
        <a:xfrm>
          <a:off x="6736080" y="102885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5</xdr:col>
      <xdr:colOff>318135</xdr:colOff>
      <xdr:row>4</xdr:row>
      <xdr:rowOff>190650</xdr:rowOff>
    </xdr:from>
    <xdr:to>
      <xdr:col>6</xdr:col>
      <xdr:colOff>245745</xdr:colOff>
      <xdr:row>6</xdr:row>
      <xdr:rowOff>27450</xdr:rowOff>
    </xdr:to>
    <xdr:sp macro="" textlink="">
      <xdr:nvSpPr>
        <xdr:cNvPr id="12" name="Rechthoek 11">
          <a:hlinkClick xmlns:r="http://schemas.openxmlformats.org/officeDocument/2006/relationships" r:id="rId2"/>
          <a:extLst>
            <a:ext uri="{FF2B5EF4-FFF2-40B4-BE49-F238E27FC236}">
              <a16:creationId xmlns:a16="http://schemas.microsoft.com/office/drawing/2014/main" id="{00000000-0008-0000-0F00-00000C000000}"/>
            </a:ext>
          </a:extLst>
        </xdr:cNvPr>
        <xdr:cNvSpPr/>
      </xdr:nvSpPr>
      <xdr:spPr>
        <a:xfrm>
          <a:off x="7694295" y="102885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6</xdr:col>
      <xdr:colOff>289560</xdr:colOff>
      <xdr:row>4</xdr:row>
      <xdr:rowOff>190650</xdr:rowOff>
    </xdr:from>
    <xdr:to>
      <xdr:col>8</xdr:col>
      <xdr:colOff>64770</xdr:colOff>
      <xdr:row>6</xdr:row>
      <xdr:rowOff>27450</xdr:rowOff>
    </xdr:to>
    <xdr:sp macro="" textlink="">
      <xdr:nvSpPr>
        <xdr:cNvPr id="13" name="Rechthoek 12">
          <a:hlinkClick xmlns:r="http://schemas.openxmlformats.org/officeDocument/2006/relationships" r:id="rId3"/>
          <a:extLst>
            <a:ext uri="{FF2B5EF4-FFF2-40B4-BE49-F238E27FC236}">
              <a16:creationId xmlns:a16="http://schemas.microsoft.com/office/drawing/2014/main" id="{00000000-0008-0000-0F00-00000D000000}"/>
            </a:ext>
          </a:extLst>
        </xdr:cNvPr>
        <xdr:cNvSpPr/>
      </xdr:nvSpPr>
      <xdr:spPr>
        <a:xfrm>
          <a:off x="8305800" y="102885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4</xdr:col>
      <xdr:colOff>609601</xdr:colOff>
      <xdr:row>1</xdr:row>
      <xdr:rowOff>0</xdr:rowOff>
    </xdr:from>
    <xdr:to>
      <xdr:col>8</xdr:col>
      <xdr:colOff>72325</xdr:colOff>
      <xdr:row>4</xdr:row>
      <xdr:rowOff>95160</xdr:rowOff>
    </xdr:to>
    <xdr:pic>
      <xdr:nvPicPr>
        <xdr:cNvPr id="15" name="Afbeelding 14">
          <a:hlinkClick xmlns:r="http://schemas.openxmlformats.org/officeDocument/2006/relationships" r:id="rId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45681" y="21336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4</xdr:col>
      <xdr:colOff>7784</xdr:colOff>
      <xdr:row>1</xdr:row>
      <xdr:rowOff>0</xdr:rowOff>
    </xdr:from>
    <xdr:to>
      <xdr:col>4</xdr:col>
      <xdr:colOff>575229</xdr:colOff>
      <xdr:row>4</xdr:row>
      <xdr:rowOff>95160</xdr:rowOff>
    </xdr:to>
    <xdr:pic>
      <xdr:nvPicPr>
        <xdr:cNvPr id="16" name="Afbeelding 15">
          <a:hlinkClick xmlns:r="http://schemas.openxmlformats.org/officeDocument/2006/relationships" r:id="rId6"/>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43864" y="21336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5</xdr:row>
      <xdr:rowOff>83970</xdr:rowOff>
    </xdr:from>
    <xdr:to>
      <xdr:col>4</xdr:col>
      <xdr:colOff>274320</xdr:colOff>
      <xdr:row>6</xdr:row>
      <xdr:rowOff>118890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1000-00000A000000}"/>
            </a:ext>
          </a:extLst>
        </xdr:cNvPr>
        <xdr:cNvSpPr/>
      </xdr:nvSpPr>
      <xdr:spPr>
        <a:xfrm>
          <a:off x="6957060" y="99837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4</xdr:col>
      <xdr:colOff>318135</xdr:colOff>
      <xdr:row>5</xdr:row>
      <xdr:rowOff>83970</xdr:rowOff>
    </xdr:from>
    <xdr:to>
      <xdr:col>5</xdr:col>
      <xdr:colOff>245745</xdr:colOff>
      <xdr:row>6</xdr:row>
      <xdr:rowOff>118890</xdr:rowOff>
    </xdr:to>
    <xdr:sp macro="" textlink="">
      <xdr:nvSpPr>
        <xdr:cNvPr id="11" name="Rechthoek 10">
          <a:hlinkClick xmlns:r="http://schemas.openxmlformats.org/officeDocument/2006/relationships" r:id="rId2"/>
          <a:extLst>
            <a:ext uri="{FF2B5EF4-FFF2-40B4-BE49-F238E27FC236}">
              <a16:creationId xmlns:a16="http://schemas.microsoft.com/office/drawing/2014/main" id="{00000000-0008-0000-1000-00000B000000}"/>
            </a:ext>
          </a:extLst>
        </xdr:cNvPr>
        <xdr:cNvSpPr/>
      </xdr:nvSpPr>
      <xdr:spPr>
        <a:xfrm>
          <a:off x="7915275" y="99837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5</xdr:col>
      <xdr:colOff>289560</xdr:colOff>
      <xdr:row>5</xdr:row>
      <xdr:rowOff>83970</xdr:rowOff>
    </xdr:from>
    <xdr:to>
      <xdr:col>7</xdr:col>
      <xdr:colOff>64770</xdr:colOff>
      <xdr:row>6</xdr:row>
      <xdr:rowOff>118890</xdr:rowOff>
    </xdr:to>
    <xdr:sp macro="" textlink="">
      <xdr:nvSpPr>
        <xdr:cNvPr id="12" name="Rechthoek 11">
          <a:hlinkClick xmlns:r="http://schemas.openxmlformats.org/officeDocument/2006/relationships" r:id="rId3"/>
          <a:extLst>
            <a:ext uri="{FF2B5EF4-FFF2-40B4-BE49-F238E27FC236}">
              <a16:creationId xmlns:a16="http://schemas.microsoft.com/office/drawing/2014/main" id="{00000000-0008-0000-1000-00000C000000}"/>
            </a:ext>
          </a:extLst>
        </xdr:cNvPr>
        <xdr:cNvSpPr/>
      </xdr:nvSpPr>
      <xdr:spPr>
        <a:xfrm>
          <a:off x="8526780" y="99837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3</xdr:col>
      <xdr:colOff>609601</xdr:colOff>
      <xdr:row>1</xdr:row>
      <xdr:rowOff>0</xdr:rowOff>
    </xdr:from>
    <xdr:to>
      <xdr:col>7</xdr:col>
      <xdr:colOff>72325</xdr:colOff>
      <xdr:row>4</xdr:row>
      <xdr:rowOff>171360</xdr:rowOff>
    </xdr:to>
    <xdr:pic>
      <xdr:nvPicPr>
        <xdr:cNvPr id="13" name="Afbeelding 12">
          <a:hlinkClick xmlns:r="http://schemas.openxmlformats.org/officeDocument/2006/relationships" r:id="rId4"/>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66661" y="18288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3</xdr:col>
      <xdr:colOff>7784</xdr:colOff>
      <xdr:row>1</xdr:row>
      <xdr:rowOff>0</xdr:rowOff>
    </xdr:from>
    <xdr:to>
      <xdr:col>3</xdr:col>
      <xdr:colOff>575229</xdr:colOff>
      <xdr:row>4</xdr:row>
      <xdr:rowOff>171360</xdr:rowOff>
    </xdr:to>
    <xdr:pic>
      <xdr:nvPicPr>
        <xdr:cNvPr id="15" name="Afbeelding 14">
          <a:hlinkClick xmlns:r="http://schemas.openxmlformats.org/officeDocument/2006/relationships" r:id="rId6"/>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64844" y="18288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5</xdr:row>
      <xdr:rowOff>83970</xdr:rowOff>
    </xdr:from>
    <xdr:to>
      <xdr:col>4</xdr:col>
      <xdr:colOff>274320</xdr:colOff>
      <xdr:row>6</xdr:row>
      <xdr:rowOff>118890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1100-00000A000000}"/>
            </a:ext>
          </a:extLst>
        </xdr:cNvPr>
        <xdr:cNvSpPr/>
      </xdr:nvSpPr>
      <xdr:spPr>
        <a:xfrm>
          <a:off x="6957060" y="99837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4</xdr:col>
      <xdr:colOff>318135</xdr:colOff>
      <xdr:row>5</xdr:row>
      <xdr:rowOff>83970</xdr:rowOff>
    </xdr:from>
    <xdr:to>
      <xdr:col>5</xdr:col>
      <xdr:colOff>245745</xdr:colOff>
      <xdr:row>6</xdr:row>
      <xdr:rowOff>118890</xdr:rowOff>
    </xdr:to>
    <xdr:sp macro="" textlink="">
      <xdr:nvSpPr>
        <xdr:cNvPr id="11" name="Rechthoek 10">
          <a:hlinkClick xmlns:r="http://schemas.openxmlformats.org/officeDocument/2006/relationships" r:id="rId2"/>
          <a:extLst>
            <a:ext uri="{FF2B5EF4-FFF2-40B4-BE49-F238E27FC236}">
              <a16:creationId xmlns:a16="http://schemas.microsoft.com/office/drawing/2014/main" id="{00000000-0008-0000-1100-00000B000000}"/>
            </a:ext>
          </a:extLst>
        </xdr:cNvPr>
        <xdr:cNvSpPr/>
      </xdr:nvSpPr>
      <xdr:spPr>
        <a:xfrm>
          <a:off x="7915275" y="99837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5</xdr:col>
      <xdr:colOff>289560</xdr:colOff>
      <xdr:row>5</xdr:row>
      <xdr:rowOff>83970</xdr:rowOff>
    </xdr:from>
    <xdr:to>
      <xdr:col>7</xdr:col>
      <xdr:colOff>64770</xdr:colOff>
      <xdr:row>6</xdr:row>
      <xdr:rowOff>118890</xdr:rowOff>
    </xdr:to>
    <xdr:sp macro="" textlink="">
      <xdr:nvSpPr>
        <xdr:cNvPr id="12" name="Rechthoek 11">
          <a:hlinkClick xmlns:r="http://schemas.openxmlformats.org/officeDocument/2006/relationships" r:id="rId3"/>
          <a:extLst>
            <a:ext uri="{FF2B5EF4-FFF2-40B4-BE49-F238E27FC236}">
              <a16:creationId xmlns:a16="http://schemas.microsoft.com/office/drawing/2014/main" id="{00000000-0008-0000-1100-00000C000000}"/>
            </a:ext>
          </a:extLst>
        </xdr:cNvPr>
        <xdr:cNvSpPr/>
      </xdr:nvSpPr>
      <xdr:spPr>
        <a:xfrm>
          <a:off x="8526780" y="99837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3</xdr:col>
      <xdr:colOff>609601</xdr:colOff>
      <xdr:row>1</xdr:row>
      <xdr:rowOff>0</xdr:rowOff>
    </xdr:from>
    <xdr:to>
      <xdr:col>7</xdr:col>
      <xdr:colOff>72325</xdr:colOff>
      <xdr:row>4</xdr:row>
      <xdr:rowOff>171360</xdr:rowOff>
    </xdr:to>
    <xdr:pic>
      <xdr:nvPicPr>
        <xdr:cNvPr id="13" name="Afbeelding 12">
          <a:hlinkClick xmlns:r="http://schemas.openxmlformats.org/officeDocument/2006/relationships" r:id="rId4"/>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66661" y="18288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3</xdr:col>
      <xdr:colOff>7784</xdr:colOff>
      <xdr:row>1</xdr:row>
      <xdr:rowOff>0</xdr:rowOff>
    </xdr:from>
    <xdr:to>
      <xdr:col>3</xdr:col>
      <xdr:colOff>575229</xdr:colOff>
      <xdr:row>4</xdr:row>
      <xdr:rowOff>171360</xdr:rowOff>
    </xdr:to>
    <xdr:pic>
      <xdr:nvPicPr>
        <xdr:cNvPr id="15" name="Afbeelding 14">
          <a:hlinkClick xmlns:r="http://schemas.openxmlformats.org/officeDocument/2006/relationships" r:id="rId6"/>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64844" y="18288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5</xdr:row>
      <xdr:rowOff>83970</xdr:rowOff>
    </xdr:from>
    <xdr:to>
      <xdr:col>4</xdr:col>
      <xdr:colOff>274320</xdr:colOff>
      <xdr:row>6</xdr:row>
      <xdr:rowOff>118890</xdr:rowOff>
    </xdr:to>
    <xdr:sp macro="" textlink="">
      <xdr:nvSpPr>
        <xdr:cNvPr id="7" name="Rechthoek 6">
          <a:hlinkClick xmlns:r="http://schemas.openxmlformats.org/officeDocument/2006/relationships" r:id="rId1"/>
          <a:extLst>
            <a:ext uri="{FF2B5EF4-FFF2-40B4-BE49-F238E27FC236}">
              <a16:creationId xmlns:a16="http://schemas.microsoft.com/office/drawing/2014/main" id="{00000000-0008-0000-1200-000007000000}"/>
            </a:ext>
          </a:extLst>
        </xdr:cNvPr>
        <xdr:cNvSpPr/>
      </xdr:nvSpPr>
      <xdr:spPr>
        <a:xfrm>
          <a:off x="6957060" y="99837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4</xdr:col>
      <xdr:colOff>318135</xdr:colOff>
      <xdr:row>5</xdr:row>
      <xdr:rowOff>83970</xdr:rowOff>
    </xdr:from>
    <xdr:to>
      <xdr:col>5</xdr:col>
      <xdr:colOff>245745</xdr:colOff>
      <xdr:row>6</xdr:row>
      <xdr:rowOff>118890</xdr:rowOff>
    </xdr:to>
    <xdr:sp macro="" textlink="">
      <xdr:nvSpPr>
        <xdr:cNvPr id="10" name="Rechthoek 9">
          <a:hlinkClick xmlns:r="http://schemas.openxmlformats.org/officeDocument/2006/relationships" r:id="rId2"/>
          <a:extLst>
            <a:ext uri="{FF2B5EF4-FFF2-40B4-BE49-F238E27FC236}">
              <a16:creationId xmlns:a16="http://schemas.microsoft.com/office/drawing/2014/main" id="{00000000-0008-0000-1200-00000A000000}"/>
            </a:ext>
          </a:extLst>
        </xdr:cNvPr>
        <xdr:cNvSpPr/>
      </xdr:nvSpPr>
      <xdr:spPr>
        <a:xfrm>
          <a:off x="7915275" y="99837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5</xdr:col>
      <xdr:colOff>289560</xdr:colOff>
      <xdr:row>5</xdr:row>
      <xdr:rowOff>83970</xdr:rowOff>
    </xdr:from>
    <xdr:to>
      <xdr:col>7</xdr:col>
      <xdr:colOff>64770</xdr:colOff>
      <xdr:row>6</xdr:row>
      <xdr:rowOff>118890</xdr:rowOff>
    </xdr:to>
    <xdr:sp macro="" textlink="">
      <xdr:nvSpPr>
        <xdr:cNvPr id="11" name="Rechthoek 10">
          <a:hlinkClick xmlns:r="http://schemas.openxmlformats.org/officeDocument/2006/relationships" r:id="rId3"/>
          <a:extLst>
            <a:ext uri="{FF2B5EF4-FFF2-40B4-BE49-F238E27FC236}">
              <a16:creationId xmlns:a16="http://schemas.microsoft.com/office/drawing/2014/main" id="{00000000-0008-0000-1200-00000B000000}"/>
            </a:ext>
          </a:extLst>
        </xdr:cNvPr>
        <xdr:cNvSpPr/>
      </xdr:nvSpPr>
      <xdr:spPr>
        <a:xfrm>
          <a:off x="8526780" y="99837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3</xdr:col>
      <xdr:colOff>609601</xdr:colOff>
      <xdr:row>1</xdr:row>
      <xdr:rowOff>0</xdr:rowOff>
    </xdr:from>
    <xdr:to>
      <xdr:col>7</xdr:col>
      <xdr:colOff>72325</xdr:colOff>
      <xdr:row>4</xdr:row>
      <xdr:rowOff>171360</xdr:rowOff>
    </xdr:to>
    <xdr:pic>
      <xdr:nvPicPr>
        <xdr:cNvPr id="12" name="Afbeelding 11">
          <a:hlinkClick xmlns:r="http://schemas.openxmlformats.org/officeDocument/2006/relationships" r:id="rId4"/>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66661" y="18288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3</xdr:col>
      <xdr:colOff>7784</xdr:colOff>
      <xdr:row>1</xdr:row>
      <xdr:rowOff>0</xdr:rowOff>
    </xdr:from>
    <xdr:to>
      <xdr:col>3</xdr:col>
      <xdr:colOff>575229</xdr:colOff>
      <xdr:row>4</xdr:row>
      <xdr:rowOff>171360</xdr:rowOff>
    </xdr:to>
    <xdr:pic>
      <xdr:nvPicPr>
        <xdr:cNvPr id="13" name="Afbeelding 12">
          <a:hlinkClick xmlns:r="http://schemas.openxmlformats.org/officeDocument/2006/relationships" r:id="rId6"/>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64844" y="18288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7620</xdr:colOff>
      <xdr:row>5</xdr:row>
      <xdr:rowOff>34440</xdr:rowOff>
    </xdr:from>
    <xdr:to>
      <xdr:col>16</xdr:col>
      <xdr:colOff>281940</xdr:colOff>
      <xdr:row>6</xdr:row>
      <xdr:rowOff>118890</xdr:rowOff>
    </xdr:to>
    <xdr:sp macro="" textlink="">
      <xdr:nvSpPr>
        <xdr:cNvPr id="7" name="Rechthoek 6">
          <a:hlinkClick xmlns:r="http://schemas.openxmlformats.org/officeDocument/2006/relationships" r:id="rId1"/>
          <a:extLst>
            <a:ext uri="{FF2B5EF4-FFF2-40B4-BE49-F238E27FC236}">
              <a16:creationId xmlns:a16="http://schemas.microsoft.com/office/drawing/2014/main" id="{00000000-0008-0000-1300-000007000000}"/>
            </a:ext>
          </a:extLst>
        </xdr:cNvPr>
        <xdr:cNvSpPr/>
      </xdr:nvSpPr>
      <xdr:spPr>
        <a:xfrm>
          <a:off x="9856470" y="99075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16</xdr:col>
      <xdr:colOff>325755</xdr:colOff>
      <xdr:row>5</xdr:row>
      <xdr:rowOff>34440</xdr:rowOff>
    </xdr:from>
    <xdr:to>
      <xdr:col>17</xdr:col>
      <xdr:colOff>253365</xdr:colOff>
      <xdr:row>6</xdr:row>
      <xdr:rowOff>118890</xdr:rowOff>
    </xdr:to>
    <xdr:sp macro="" textlink="">
      <xdr:nvSpPr>
        <xdr:cNvPr id="8" name="Rechthoek 7">
          <a:hlinkClick xmlns:r="http://schemas.openxmlformats.org/officeDocument/2006/relationships" r:id="rId2"/>
          <a:extLst>
            <a:ext uri="{FF2B5EF4-FFF2-40B4-BE49-F238E27FC236}">
              <a16:creationId xmlns:a16="http://schemas.microsoft.com/office/drawing/2014/main" id="{00000000-0008-0000-1300-000008000000}"/>
            </a:ext>
          </a:extLst>
        </xdr:cNvPr>
        <xdr:cNvSpPr/>
      </xdr:nvSpPr>
      <xdr:spPr>
        <a:xfrm>
          <a:off x="10814685" y="99075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17</xdr:col>
      <xdr:colOff>297180</xdr:colOff>
      <xdr:row>5</xdr:row>
      <xdr:rowOff>34440</xdr:rowOff>
    </xdr:from>
    <xdr:to>
      <xdr:col>19</xdr:col>
      <xdr:colOff>72390</xdr:colOff>
      <xdr:row>6</xdr:row>
      <xdr:rowOff>118890</xdr:rowOff>
    </xdr:to>
    <xdr:sp macro="" textlink="">
      <xdr:nvSpPr>
        <xdr:cNvPr id="9" name="Rechthoek 8">
          <a:hlinkClick xmlns:r="http://schemas.openxmlformats.org/officeDocument/2006/relationships" r:id="rId3"/>
          <a:extLst>
            <a:ext uri="{FF2B5EF4-FFF2-40B4-BE49-F238E27FC236}">
              <a16:creationId xmlns:a16="http://schemas.microsoft.com/office/drawing/2014/main" id="{00000000-0008-0000-1300-000009000000}"/>
            </a:ext>
          </a:extLst>
        </xdr:cNvPr>
        <xdr:cNvSpPr/>
      </xdr:nvSpPr>
      <xdr:spPr>
        <a:xfrm>
          <a:off x="11426190" y="99075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15</xdr:col>
      <xdr:colOff>617221</xdr:colOff>
      <xdr:row>0</xdr:row>
      <xdr:rowOff>175260</xdr:rowOff>
    </xdr:from>
    <xdr:to>
      <xdr:col>19</xdr:col>
      <xdr:colOff>79945</xdr:colOff>
      <xdr:row>4</xdr:row>
      <xdr:rowOff>72300</xdr:rowOff>
    </xdr:to>
    <xdr:pic>
      <xdr:nvPicPr>
        <xdr:cNvPr id="15" name="Afbeelding 14">
          <a:hlinkClick xmlns:r="http://schemas.openxmlformats.org/officeDocument/2006/relationships" r:id="rId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66071" y="17526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15</xdr:col>
      <xdr:colOff>15404</xdr:colOff>
      <xdr:row>0</xdr:row>
      <xdr:rowOff>175260</xdr:rowOff>
    </xdr:from>
    <xdr:to>
      <xdr:col>15</xdr:col>
      <xdr:colOff>582849</xdr:colOff>
      <xdr:row>4</xdr:row>
      <xdr:rowOff>72300</xdr:rowOff>
    </xdr:to>
    <xdr:pic>
      <xdr:nvPicPr>
        <xdr:cNvPr id="16" name="Afbeelding 15">
          <a:hlinkClick xmlns:r="http://schemas.openxmlformats.org/officeDocument/2006/relationships" r:id="rId6"/>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864254" y="17526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5</xdr:row>
      <xdr:rowOff>103020</xdr:rowOff>
    </xdr:from>
    <xdr:to>
      <xdr:col>5</xdr:col>
      <xdr:colOff>274320</xdr:colOff>
      <xdr:row>6</xdr:row>
      <xdr:rowOff>137940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1400-00000A000000}"/>
            </a:ext>
          </a:extLst>
        </xdr:cNvPr>
        <xdr:cNvSpPr/>
      </xdr:nvSpPr>
      <xdr:spPr>
        <a:xfrm>
          <a:off x="7597140" y="1017420"/>
          <a:ext cx="91440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100"/>
            <a:t>Stappenplan</a:t>
          </a:r>
        </a:p>
      </xdr:txBody>
    </xdr:sp>
    <xdr:clientData/>
  </xdr:twoCellAnchor>
  <xdr:twoCellAnchor>
    <xdr:from>
      <xdr:col>5</xdr:col>
      <xdr:colOff>318135</xdr:colOff>
      <xdr:row>5</xdr:row>
      <xdr:rowOff>103020</xdr:rowOff>
    </xdr:from>
    <xdr:to>
      <xdr:col>6</xdr:col>
      <xdr:colOff>245745</xdr:colOff>
      <xdr:row>6</xdr:row>
      <xdr:rowOff>137940</xdr:rowOff>
    </xdr:to>
    <xdr:sp macro="" textlink="">
      <xdr:nvSpPr>
        <xdr:cNvPr id="11" name="Rechthoek 10">
          <a:hlinkClick xmlns:r="http://schemas.openxmlformats.org/officeDocument/2006/relationships" r:id="rId2"/>
          <a:extLst>
            <a:ext uri="{FF2B5EF4-FFF2-40B4-BE49-F238E27FC236}">
              <a16:creationId xmlns:a16="http://schemas.microsoft.com/office/drawing/2014/main" id="{00000000-0008-0000-1400-00000B000000}"/>
            </a:ext>
          </a:extLst>
        </xdr:cNvPr>
        <xdr:cNvSpPr/>
      </xdr:nvSpPr>
      <xdr:spPr>
        <a:xfrm>
          <a:off x="8555355" y="1017420"/>
          <a:ext cx="56769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Invoer</a:t>
          </a:r>
        </a:p>
      </xdr:txBody>
    </xdr:sp>
    <xdr:clientData/>
  </xdr:twoCellAnchor>
  <xdr:twoCellAnchor>
    <xdr:from>
      <xdr:col>6</xdr:col>
      <xdr:colOff>289560</xdr:colOff>
      <xdr:row>5</xdr:row>
      <xdr:rowOff>103020</xdr:rowOff>
    </xdr:from>
    <xdr:to>
      <xdr:col>8</xdr:col>
      <xdr:colOff>64770</xdr:colOff>
      <xdr:row>6</xdr:row>
      <xdr:rowOff>137940</xdr:rowOff>
    </xdr:to>
    <xdr:sp macro="" textlink="">
      <xdr:nvSpPr>
        <xdr:cNvPr id="12" name="Rechthoek 11">
          <a:hlinkClick xmlns:r="http://schemas.openxmlformats.org/officeDocument/2006/relationships" r:id="rId3"/>
          <a:extLst>
            <a:ext uri="{FF2B5EF4-FFF2-40B4-BE49-F238E27FC236}">
              <a16:creationId xmlns:a16="http://schemas.microsoft.com/office/drawing/2014/main" id="{00000000-0008-0000-1400-00000C000000}"/>
            </a:ext>
          </a:extLst>
        </xdr:cNvPr>
        <xdr:cNvSpPr/>
      </xdr:nvSpPr>
      <xdr:spPr>
        <a:xfrm>
          <a:off x="9166860" y="1017420"/>
          <a:ext cx="1055370" cy="217800"/>
        </a:xfrm>
        <a:prstGeom prst="rect">
          <a:avLst/>
        </a:prstGeom>
        <a:solidFill>
          <a:srgbClr val="0062C4"/>
        </a:solidFill>
        <a:effectLst>
          <a:outerShdw blurRad="50800" dist="38100" dir="8100000" sx="87000" sy="87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Ontslagpagina</a:t>
          </a:r>
        </a:p>
        <a:p>
          <a:pPr algn="ctr"/>
          <a:endParaRPr lang="nl-NL" sz="1100"/>
        </a:p>
      </xdr:txBody>
    </xdr:sp>
    <xdr:clientData/>
  </xdr:twoCellAnchor>
  <xdr:twoCellAnchor editAs="oneCell">
    <xdr:from>
      <xdr:col>4</xdr:col>
      <xdr:colOff>609601</xdr:colOff>
      <xdr:row>1</xdr:row>
      <xdr:rowOff>19050</xdr:rowOff>
    </xdr:from>
    <xdr:to>
      <xdr:col>8</xdr:col>
      <xdr:colOff>72325</xdr:colOff>
      <xdr:row>5</xdr:row>
      <xdr:rowOff>7530</xdr:rowOff>
    </xdr:to>
    <xdr:pic>
      <xdr:nvPicPr>
        <xdr:cNvPr id="13" name="Afbeelding 12">
          <a:hlinkClick xmlns:r="http://schemas.openxmlformats.org/officeDocument/2006/relationships" r:id="rId4"/>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206741" y="201930"/>
          <a:ext cx="2023044" cy="720000"/>
        </a:xfrm>
        <a:prstGeom prst="rect">
          <a:avLst/>
        </a:prstGeom>
        <a:solidFill>
          <a:srgbClr val="0062C4"/>
        </a:solidFill>
        <a:effectLst>
          <a:outerShdw blurRad="50800" dist="38100" dir="2700000" algn="tl" rotWithShape="0">
            <a:prstClr val="black">
              <a:alpha val="40000"/>
            </a:prstClr>
          </a:outerShdw>
        </a:effectLst>
      </xdr:spPr>
    </xdr:pic>
    <xdr:clientData/>
  </xdr:twoCellAnchor>
  <xdr:twoCellAnchor editAs="oneCell">
    <xdr:from>
      <xdr:col>4</xdr:col>
      <xdr:colOff>7784</xdr:colOff>
      <xdr:row>1</xdr:row>
      <xdr:rowOff>19050</xdr:rowOff>
    </xdr:from>
    <xdr:to>
      <xdr:col>4</xdr:col>
      <xdr:colOff>575229</xdr:colOff>
      <xdr:row>5</xdr:row>
      <xdr:rowOff>7530</xdr:rowOff>
    </xdr:to>
    <xdr:pic>
      <xdr:nvPicPr>
        <xdr:cNvPr id="15" name="Afbeelding 14">
          <a:hlinkClick xmlns:r="http://schemas.openxmlformats.org/officeDocument/2006/relationships" r:id="rId6"/>
          <a:extLst>
            <a:ext uri="{FF2B5EF4-FFF2-40B4-BE49-F238E27FC236}">
              <a16:creationId xmlns:a16="http://schemas.microsoft.com/office/drawing/2014/main" id="{00000000-0008-0000-14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04924" y="201930"/>
          <a:ext cx="567445" cy="720000"/>
        </a:xfrm>
        <a:prstGeom prst="rect">
          <a:avLst/>
        </a:prstGeom>
        <a:solidFill>
          <a:srgbClr val="EBF7FF"/>
        </a:solidFill>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i.nl/toolbox-ontslagregeling-onderhandelen-over-de-vaststellingsovereenkoms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arbeidsrechter.nl/onderhandelen-over-de-ontslagvergoeding-in-de-vaststellingsovereenkomst" TargetMode="External"/><Relationship Id="rId7" Type="http://schemas.openxmlformats.org/officeDocument/2006/relationships/printerSettings" Target="../printerSettings/printerSettings2.bin"/><Relationship Id="rId2" Type="http://schemas.openxmlformats.org/officeDocument/2006/relationships/hyperlink" Target="https://www.arbeidsrechter.nl/onderhandelen-over-de-ontslagvergoeding-in-de-vaststellingsovereenkomst" TargetMode="External"/><Relationship Id="rId1" Type="http://schemas.openxmlformats.org/officeDocument/2006/relationships/hyperlink" Target="https://www.an-i.nl/" TargetMode="External"/><Relationship Id="rId6" Type="http://schemas.openxmlformats.org/officeDocument/2006/relationships/hyperlink" Target="https://www.an-i.nl/toolbox-ontslagregeling-onderhandelen-over-de-vaststellingsovereenkomst/" TargetMode="External"/><Relationship Id="rId5" Type="http://schemas.openxmlformats.org/officeDocument/2006/relationships/hyperlink" Target="https://www.arbeidsrechter.nl/onderhandelen-over-de-ontslagvergoeding-in-de-vaststellingsovereenkomst" TargetMode="External"/><Relationship Id="rId4" Type="http://schemas.openxmlformats.org/officeDocument/2006/relationships/hyperlink" Target="https://www.arbeidsrechter.nl/onderhandelen-over-de-ontslagvergoeding-in-de-vaststellingsovereenkoms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hyperlink" Target="https://formulieren.uwv.nl/werkgever/formulier/nl-NL/Publiek/sc29603.aspx/fAanvraagOntslagvergunningBE_BInleiding" TargetMode="External"/><Relationship Id="rId2" Type="http://schemas.openxmlformats.org/officeDocument/2006/relationships/hyperlink" Target="https://formulieren.uwv.nl/werkgever/formulier/nl-NL/Publiek/sc29603.aspx/fAanvraagOntslagvergunningBE_BInleiding" TargetMode="External"/><Relationship Id="rId1" Type="http://schemas.openxmlformats.org/officeDocument/2006/relationships/hyperlink" Target="https://formulieren.uwv.nl/werkgever/formulier/nl-NL/Publiek/sc29602.aspx/fAanvraagOntslagvergunningBE_AInleiding" TargetMode="External"/><Relationship Id="rId6" Type="http://schemas.openxmlformats.org/officeDocument/2006/relationships/drawing" Target="../drawings/drawing15.xml"/><Relationship Id="rId5" Type="http://schemas.openxmlformats.org/officeDocument/2006/relationships/printerSettings" Target="../printerSettings/printerSettings10.bin"/><Relationship Id="rId4" Type="http://schemas.openxmlformats.org/officeDocument/2006/relationships/hyperlink" Target="https://www.uwv.nl/werkgevers/formulieren/aanvragen-ontslagvergunning-wegens-bedrijfseconomische-redenen-deel-c.aspx"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01D2-37D0-4F8F-8075-086B2F89B7E5}">
  <sheetPr codeName="Blad2">
    <pageSetUpPr fitToPage="1"/>
  </sheetPr>
  <dimension ref="A1:U1054"/>
  <sheetViews>
    <sheetView workbookViewId="0"/>
  </sheetViews>
  <sheetFormatPr defaultRowHeight="14.4" x14ac:dyDescent="0.55000000000000004"/>
  <cols>
    <col min="1" max="1" width="3.9453125" style="8" customWidth="1"/>
    <col min="2" max="2" width="8.83984375" style="8" customWidth="1"/>
    <col min="3" max="3" width="27.83984375" style="8" customWidth="1"/>
    <col min="4" max="4" width="4.5234375" style="8" customWidth="1"/>
    <col min="5" max="5" width="16.26171875" style="8" customWidth="1"/>
    <col min="6" max="6" width="4.15625" style="8" customWidth="1"/>
    <col min="7" max="7" width="3.578125" style="10" customWidth="1"/>
    <col min="8" max="8" width="15.62890625" style="10" customWidth="1"/>
    <col min="9" max="9" width="21.62890625" style="10" customWidth="1"/>
    <col min="10" max="10" width="4.62890625" style="10" customWidth="1"/>
    <col min="11" max="11" width="12.15625" style="10" customWidth="1"/>
    <col min="12" max="12" width="4.3671875" style="10" customWidth="1"/>
    <col min="13" max="13" width="4.1015625" style="8" customWidth="1"/>
    <col min="14" max="14" width="9" style="8" customWidth="1"/>
    <col min="15" max="15" width="3.3125" style="8" customWidth="1"/>
    <col min="16" max="16" width="9" style="8" customWidth="1"/>
    <col min="17" max="17" width="6.83984375" style="8" customWidth="1"/>
    <col min="18" max="18" width="12.5234375" style="8" customWidth="1"/>
    <col min="19" max="16384" width="8.83984375" style="8"/>
  </cols>
  <sheetData>
    <row r="1" spans="1:21" s="33" customFormat="1" ht="76.5" x14ac:dyDescent="1.1000000000000001">
      <c r="A1" s="326" t="s">
        <v>767</v>
      </c>
      <c r="B1" s="201"/>
      <c r="D1" s="202"/>
      <c r="G1" s="212"/>
      <c r="H1" s="213"/>
      <c r="I1" s="142"/>
      <c r="J1" s="214"/>
      <c r="K1" s="142"/>
      <c r="L1" s="142"/>
      <c r="M1" s="212"/>
      <c r="N1" s="201"/>
      <c r="P1" s="202"/>
      <c r="R1" s="202"/>
    </row>
    <row r="2" spans="1:21" s="33" customFormat="1" x14ac:dyDescent="0.55000000000000004">
      <c r="G2" s="212"/>
      <c r="H2" s="142"/>
      <c r="I2" s="142"/>
      <c r="J2" s="142"/>
      <c r="K2" s="142"/>
      <c r="L2" s="142"/>
      <c r="M2" s="212"/>
    </row>
    <row r="3" spans="1:21" s="33" customFormat="1" x14ac:dyDescent="0.55000000000000004">
      <c r="G3" s="212"/>
      <c r="H3" s="142"/>
      <c r="I3" s="142"/>
      <c r="J3" s="142"/>
      <c r="K3" s="142"/>
      <c r="L3" s="142"/>
      <c r="M3" s="212"/>
    </row>
    <row r="4" spans="1:21" s="33" customFormat="1" ht="16.8" x14ac:dyDescent="0.65">
      <c r="C4" s="226" t="s">
        <v>617</v>
      </c>
      <c r="G4" s="212"/>
      <c r="H4" s="298" t="s">
        <v>443</v>
      </c>
      <c r="J4" s="142"/>
      <c r="K4" s="142"/>
      <c r="L4" s="142"/>
      <c r="M4" s="212"/>
      <c r="P4" s="226" t="s">
        <v>363</v>
      </c>
    </row>
    <row r="5" spans="1:21" s="96" customFormat="1" ht="14.4" customHeight="1" x14ac:dyDescent="0.5">
      <c r="F5" s="203"/>
      <c r="G5" s="215"/>
      <c r="H5" s="64"/>
      <c r="I5" s="64"/>
      <c r="J5" s="64"/>
      <c r="K5" s="64"/>
      <c r="L5" s="216"/>
      <c r="M5" s="233"/>
      <c r="O5" s="131"/>
      <c r="P5" s="131"/>
      <c r="Q5" s="131"/>
      <c r="R5" s="131"/>
      <c r="S5" s="131"/>
      <c r="T5" s="131"/>
    </row>
    <row r="6" spans="1:21" s="96" customFormat="1" ht="12.9" x14ac:dyDescent="0.5">
      <c r="F6" s="203"/>
      <c r="G6" s="215"/>
      <c r="H6" s="64"/>
      <c r="I6" s="64"/>
      <c r="J6" s="64"/>
      <c r="K6" s="64"/>
      <c r="L6" s="216"/>
      <c r="M6" s="233"/>
      <c r="O6" s="235"/>
      <c r="R6" s="235"/>
    </row>
    <row r="7" spans="1:21" s="96" customFormat="1" ht="12.9" x14ac:dyDescent="0.5">
      <c r="F7" s="203"/>
      <c r="G7" s="215"/>
      <c r="H7" s="64"/>
      <c r="I7" s="64"/>
      <c r="J7" s="64"/>
      <c r="K7" s="64"/>
      <c r="L7" s="216"/>
      <c r="M7" s="233"/>
      <c r="N7" s="317" t="s">
        <v>758</v>
      </c>
      <c r="P7" s="133"/>
      <c r="S7" s="316" t="s">
        <v>757</v>
      </c>
    </row>
    <row r="8" spans="1:21" s="96" customFormat="1" ht="12.9" x14ac:dyDescent="0.5">
      <c r="B8" s="203"/>
      <c r="C8" s="203"/>
      <c r="D8" s="203"/>
      <c r="E8" s="203"/>
      <c r="F8" s="203"/>
      <c r="G8" s="215"/>
      <c r="H8" s="217"/>
      <c r="I8" s="64"/>
      <c r="J8" s="64"/>
      <c r="K8" s="64"/>
      <c r="L8" s="64"/>
      <c r="M8" s="233"/>
      <c r="N8" s="102"/>
      <c r="O8" s="315"/>
      <c r="P8" s="102"/>
    </row>
    <row r="9" spans="1:21" s="33" customFormat="1" x14ac:dyDescent="0.55000000000000004">
      <c r="B9" s="204"/>
      <c r="G9" s="212"/>
      <c r="H9" s="218"/>
      <c r="I9" s="142"/>
      <c r="J9" s="142"/>
      <c r="K9" s="142"/>
      <c r="L9" s="142"/>
      <c r="M9" s="234"/>
      <c r="O9" s="141"/>
      <c r="P9" s="141"/>
    </row>
    <row r="10" spans="1:21" s="96" customFormat="1" ht="12.9" customHeight="1" x14ac:dyDescent="0.5">
      <c r="B10" s="205"/>
      <c r="C10" s="206"/>
      <c r="D10" s="206"/>
      <c r="E10" s="206"/>
      <c r="F10" s="206"/>
      <c r="G10" s="155"/>
      <c r="H10" s="64"/>
      <c r="I10" s="64"/>
      <c r="J10" s="64"/>
      <c r="K10" s="64"/>
      <c r="L10" s="64"/>
      <c r="M10" s="233"/>
      <c r="O10" s="133"/>
      <c r="P10" s="133"/>
      <c r="Q10" s="133"/>
      <c r="R10" s="133"/>
    </row>
    <row r="11" spans="1:21" s="96" customFormat="1" ht="12.9" x14ac:dyDescent="0.5">
      <c r="F11" s="206"/>
      <c r="G11" s="155"/>
      <c r="L11" s="64"/>
      <c r="M11" s="233"/>
      <c r="N11" s="133"/>
      <c r="O11" s="133"/>
      <c r="P11" s="133"/>
      <c r="Q11" s="133"/>
      <c r="R11" s="133"/>
    </row>
    <row r="12" spans="1:21" s="96" customFormat="1" ht="12.9" x14ac:dyDescent="0.5">
      <c r="F12" s="206"/>
      <c r="G12" s="155"/>
      <c r="L12" s="64"/>
      <c r="M12" s="233"/>
      <c r="N12" s="133"/>
      <c r="O12" s="133"/>
      <c r="P12" s="133"/>
      <c r="Q12" s="133"/>
      <c r="R12" s="133"/>
    </row>
    <row r="13" spans="1:21" s="96" customFormat="1" x14ac:dyDescent="0.55000000000000004">
      <c r="B13" s="204" t="s">
        <v>643</v>
      </c>
      <c r="C13" s="33"/>
      <c r="D13" s="33"/>
      <c r="E13" s="33"/>
      <c r="F13" s="206"/>
      <c r="G13" s="155"/>
      <c r="H13" s="219" t="s">
        <v>684</v>
      </c>
      <c r="I13" s="142"/>
      <c r="J13" s="142"/>
      <c r="K13" s="142"/>
      <c r="L13" s="64"/>
      <c r="M13" s="233"/>
      <c r="N13" s="143" t="s">
        <v>567</v>
      </c>
      <c r="O13" s="133"/>
      <c r="P13" s="133"/>
      <c r="Q13" s="133"/>
      <c r="R13" s="133"/>
    </row>
    <row r="14" spans="1:21" s="96" customFormat="1" ht="12.9" x14ac:dyDescent="0.5">
      <c r="B14" s="849" t="s">
        <v>641</v>
      </c>
      <c r="C14" s="849"/>
      <c r="D14" s="849"/>
      <c r="E14" s="849"/>
      <c r="G14" s="155"/>
      <c r="H14" s="850" t="s">
        <v>871</v>
      </c>
      <c r="I14" s="850"/>
      <c r="J14" s="850"/>
      <c r="K14" s="850"/>
      <c r="L14" s="64"/>
      <c r="M14" s="233"/>
      <c r="N14" s="131" t="s">
        <v>711</v>
      </c>
      <c r="R14" s="228"/>
      <c r="U14" s="102"/>
    </row>
    <row r="15" spans="1:21" s="96" customFormat="1" x14ac:dyDescent="0.55000000000000004">
      <c r="B15" s="849"/>
      <c r="C15" s="849"/>
      <c r="D15" s="849"/>
      <c r="E15" s="849"/>
      <c r="G15" s="155"/>
      <c r="H15" s="850"/>
      <c r="I15" s="850"/>
      <c r="J15" s="850"/>
      <c r="K15" s="850"/>
      <c r="L15" s="64"/>
      <c r="M15" s="233"/>
      <c r="N15" s="143" t="s">
        <v>682</v>
      </c>
      <c r="O15" s="102"/>
      <c r="P15" s="229"/>
    </row>
    <row r="16" spans="1:21" s="96" customFormat="1" ht="12.9" x14ac:dyDescent="0.5">
      <c r="B16" s="849"/>
      <c r="C16" s="849"/>
      <c r="D16" s="849"/>
      <c r="E16" s="849"/>
      <c r="G16" s="155"/>
      <c r="H16" s="850"/>
      <c r="I16" s="850"/>
      <c r="J16" s="850"/>
      <c r="K16" s="850"/>
      <c r="L16" s="64"/>
      <c r="M16" s="233"/>
      <c r="N16" s="137" t="s">
        <v>710</v>
      </c>
      <c r="O16" s="102"/>
      <c r="P16" s="229"/>
      <c r="R16" s="229"/>
    </row>
    <row r="17" spans="2:19" s="96" customFormat="1" ht="12.9" x14ac:dyDescent="0.5">
      <c r="G17" s="155"/>
      <c r="H17" s="216"/>
      <c r="I17" s="216"/>
      <c r="J17" s="216"/>
      <c r="K17" s="216"/>
      <c r="L17" s="64"/>
      <c r="M17" s="233"/>
      <c r="N17" s="102"/>
      <c r="O17" s="102"/>
      <c r="P17" s="229"/>
    </row>
    <row r="18" spans="2:19" s="33" customFormat="1" ht="14.4" customHeight="1" x14ac:dyDescent="0.55000000000000004">
      <c r="F18" s="207"/>
      <c r="G18" s="212"/>
      <c r="L18" s="142"/>
      <c r="M18" s="233"/>
      <c r="O18" s="102"/>
      <c r="P18" s="102"/>
    </row>
    <row r="19" spans="2:19" s="33" customFormat="1" ht="14.4" customHeight="1" x14ac:dyDescent="0.55000000000000004">
      <c r="F19" s="207"/>
      <c r="G19" s="212"/>
      <c r="L19" s="142"/>
      <c r="M19" s="233"/>
      <c r="O19" s="102"/>
      <c r="P19" s="102"/>
      <c r="R19" s="141"/>
    </row>
    <row r="20" spans="2:19" s="33" customFormat="1" x14ac:dyDescent="0.55000000000000004">
      <c r="B20" s="208"/>
      <c r="G20" s="212"/>
      <c r="L20" s="142"/>
      <c r="M20" s="233"/>
      <c r="O20" s="102"/>
      <c r="P20" s="102"/>
      <c r="R20" s="141"/>
    </row>
    <row r="21" spans="2:19" s="33" customFormat="1" x14ac:dyDescent="0.55000000000000004">
      <c r="B21" s="208"/>
      <c r="G21" s="212"/>
      <c r="H21" s="220"/>
      <c r="I21" s="142"/>
      <c r="J21" s="142"/>
      <c r="K21" s="142"/>
      <c r="L21" s="142"/>
      <c r="M21" s="233"/>
      <c r="O21" s="102"/>
      <c r="P21" s="102"/>
      <c r="R21" s="141"/>
    </row>
    <row r="22" spans="2:19" s="33" customFormat="1" x14ac:dyDescent="0.55000000000000004">
      <c r="B22" s="208"/>
      <c r="G22" s="212"/>
      <c r="H22" s="220"/>
      <c r="I22" s="142"/>
      <c r="J22" s="142"/>
      <c r="K22" s="142"/>
      <c r="L22" s="142"/>
      <c r="M22" s="233"/>
      <c r="O22" s="102"/>
      <c r="P22" s="102"/>
      <c r="R22" s="141"/>
    </row>
    <row r="23" spans="2:19" s="33" customFormat="1" x14ac:dyDescent="0.55000000000000004">
      <c r="B23" s="209" t="s">
        <v>722</v>
      </c>
      <c r="C23" s="210"/>
      <c r="D23" s="210"/>
      <c r="E23" s="227" t="s">
        <v>872</v>
      </c>
      <c r="F23" s="210"/>
      <c r="G23" s="212"/>
      <c r="H23" s="221" t="s">
        <v>599</v>
      </c>
      <c r="I23" s="222"/>
      <c r="J23" s="222"/>
      <c r="K23" s="222"/>
      <c r="L23" s="222"/>
      <c r="M23" s="233"/>
      <c r="N23" s="230"/>
      <c r="O23" s="102"/>
      <c r="P23" s="102"/>
      <c r="Q23" s="141"/>
      <c r="R23" s="141"/>
    </row>
    <row r="24" spans="2:19" s="33" customFormat="1" ht="15.6" customHeight="1" x14ac:dyDescent="0.55000000000000004">
      <c r="B24" s="299"/>
      <c r="C24" s="299"/>
      <c r="D24" s="332"/>
      <c r="E24" s="333" t="s">
        <v>364</v>
      </c>
      <c r="F24" s="211"/>
      <c r="G24" s="212"/>
      <c r="H24" s="848"/>
      <c r="I24" s="848"/>
      <c r="J24" s="848"/>
      <c r="K24" s="848"/>
      <c r="L24" s="223"/>
      <c r="M24" s="233"/>
      <c r="N24" s="231"/>
      <c r="O24" s="231"/>
      <c r="P24" s="231"/>
      <c r="Q24" s="231"/>
      <c r="R24" s="228"/>
      <c r="S24" s="228"/>
    </row>
    <row r="25" spans="2:19" s="33" customFormat="1" x14ac:dyDescent="0.55000000000000004">
      <c r="B25" s="299"/>
      <c r="C25" s="299"/>
      <c r="D25" s="211"/>
      <c r="F25" s="211"/>
      <c r="G25" s="212"/>
      <c r="H25" s="848"/>
      <c r="I25" s="848"/>
      <c r="J25" s="848"/>
      <c r="K25" s="848"/>
      <c r="L25" s="223"/>
      <c r="M25" s="233"/>
      <c r="N25" s="228"/>
      <c r="O25" s="231"/>
      <c r="P25" s="231"/>
      <c r="Q25" s="231"/>
    </row>
    <row r="26" spans="2:19" s="33" customFormat="1" x14ac:dyDescent="0.55000000000000004">
      <c r="F26" s="211"/>
      <c r="G26" s="212"/>
      <c r="H26" s="223"/>
      <c r="I26" s="223"/>
      <c r="J26" s="223"/>
      <c r="K26" s="223"/>
      <c r="L26" s="223"/>
      <c r="M26" s="212"/>
      <c r="N26" s="228"/>
      <c r="Q26" s="232"/>
    </row>
    <row r="27" spans="2:19" s="33" customFormat="1" ht="19.2" customHeight="1" x14ac:dyDescent="0.55000000000000004">
      <c r="G27" s="224"/>
      <c r="H27" s="225"/>
      <c r="I27" s="225"/>
      <c r="J27" s="225"/>
      <c r="K27" s="225"/>
      <c r="L27" s="225"/>
      <c r="M27" s="224"/>
    </row>
    <row r="28" spans="2:19" s="57" customFormat="1" x14ac:dyDescent="0.55000000000000004"/>
    <row r="29" spans="2:19" s="9" customFormat="1" x14ac:dyDescent="0.55000000000000004">
      <c r="B29" s="327" t="s">
        <v>765</v>
      </c>
      <c r="C29" s="324"/>
      <c r="D29" s="324"/>
      <c r="E29" s="324"/>
      <c r="F29" s="851" t="s">
        <v>764</v>
      </c>
      <c r="G29" s="852"/>
      <c r="H29" s="853"/>
      <c r="I29" s="325" t="s">
        <v>766</v>
      </c>
      <c r="J29" s="324"/>
      <c r="K29" s="324"/>
      <c r="L29" s="324"/>
      <c r="M29" s="324"/>
      <c r="N29" s="324"/>
      <c r="O29" s="324"/>
      <c r="P29" s="324"/>
      <c r="Q29" s="324"/>
    </row>
    <row r="30" spans="2:19" s="9" customFormat="1" x14ac:dyDescent="0.55000000000000004"/>
    <row r="31" spans="2:19" x14ac:dyDescent="0.55000000000000004">
      <c r="B31" s="34" t="s">
        <v>600</v>
      </c>
      <c r="C31" s="34"/>
      <c r="D31" s="35"/>
      <c r="E31" s="35"/>
      <c r="F31" s="35"/>
      <c r="G31" s="35"/>
      <c r="H31" s="35"/>
      <c r="I31" s="35"/>
      <c r="J31" s="35"/>
      <c r="K31" s="35"/>
      <c r="L31" s="35"/>
      <c r="M31" s="35"/>
      <c r="N31" s="35"/>
      <c r="O31" s="35"/>
      <c r="P31" s="35"/>
      <c r="Q31" s="35"/>
      <c r="R31" s="35"/>
      <c r="S31" s="35"/>
    </row>
    <row r="32" spans="2:19" ht="14.4" customHeight="1" x14ac:dyDescent="0.55000000000000004">
      <c r="B32" s="847" t="s">
        <v>721</v>
      </c>
      <c r="C32" s="847"/>
      <c r="D32" s="847"/>
      <c r="E32" s="847"/>
      <c r="F32" s="847"/>
      <c r="G32" s="847"/>
      <c r="H32" s="847"/>
      <c r="I32" s="847"/>
      <c r="J32" s="847"/>
      <c r="K32" s="847"/>
      <c r="L32" s="847"/>
      <c r="M32" s="847"/>
      <c r="N32" s="847"/>
      <c r="O32" s="847"/>
      <c r="P32" s="847"/>
      <c r="Q32" s="847"/>
      <c r="R32" s="847"/>
      <c r="S32" s="847"/>
    </row>
    <row r="33" spans="2:19" ht="14.4" customHeight="1" x14ac:dyDescent="0.55000000000000004">
      <c r="B33" s="847"/>
      <c r="C33" s="847"/>
      <c r="D33" s="847"/>
      <c r="E33" s="847"/>
      <c r="F33" s="847"/>
      <c r="G33" s="847"/>
      <c r="H33" s="847"/>
      <c r="I33" s="847"/>
      <c r="J33" s="847"/>
      <c r="K33" s="847"/>
      <c r="L33" s="847"/>
      <c r="M33" s="847"/>
      <c r="N33" s="847"/>
      <c r="O33" s="847"/>
      <c r="P33" s="847"/>
      <c r="Q33" s="847"/>
      <c r="R33" s="847"/>
      <c r="S33" s="847"/>
    </row>
    <row r="34" spans="2:19" ht="14.4" customHeight="1" x14ac:dyDescent="0.55000000000000004">
      <c r="B34" s="846" t="s">
        <v>601</v>
      </c>
      <c r="C34" s="846"/>
      <c r="D34" s="846"/>
      <c r="E34" s="846"/>
      <c r="F34" s="846"/>
      <c r="G34" s="846"/>
      <c r="H34" s="846"/>
      <c r="I34" s="846"/>
      <c r="J34" s="846"/>
      <c r="K34" s="846"/>
      <c r="L34" s="846"/>
      <c r="M34" s="846"/>
      <c r="N34" s="846"/>
      <c r="O34" s="846"/>
      <c r="P34" s="846"/>
      <c r="Q34" s="846"/>
      <c r="R34" s="846"/>
      <c r="S34" s="846"/>
    </row>
    <row r="35" spans="2:19" x14ac:dyDescent="0.55000000000000004">
      <c r="B35" s="846"/>
      <c r="C35" s="846"/>
      <c r="D35" s="846"/>
      <c r="E35" s="846"/>
      <c r="F35" s="846"/>
      <c r="G35" s="846"/>
      <c r="H35" s="846"/>
      <c r="I35" s="846"/>
      <c r="J35" s="846"/>
      <c r="K35" s="846"/>
      <c r="L35" s="846"/>
      <c r="M35" s="846"/>
      <c r="N35" s="846"/>
      <c r="O35" s="846"/>
      <c r="P35" s="846"/>
      <c r="Q35" s="846"/>
      <c r="R35" s="846"/>
      <c r="S35" s="846"/>
    </row>
    <row r="36" spans="2:19" x14ac:dyDescent="0.55000000000000004">
      <c r="B36" s="846"/>
      <c r="C36" s="846"/>
      <c r="D36" s="846"/>
      <c r="E36" s="846"/>
      <c r="F36" s="846"/>
      <c r="G36" s="846"/>
      <c r="H36" s="846"/>
      <c r="I36" s="846"/>
      <c r="J36" s="846"/>
      <c r="K36" s="846"/>
      <c r="L36" s="846"/>
      <c r="M36" s="846"/>
      <c r="N36" s="846"/>
      <c r="O36" s="846"/>
      <c r="P36" s="846"/>
      <c r="Q36" s="846"/>
      <c r="R36" s="846"/>
      <c r="S36" s="846"/>
    </row>
    <row r="37" spans="2:19" x14ac:dyDescent="0.55000000000000004">
      <c r="B37" s="846"/>
      <c r="C37" s="846"/>
      <c r="D37" s="846"/>
      <c r="E37" s="846"/>
      <c r="F37" s="846"/>
      <c r="G37" s="846"/>
      <c r="H37" s="846"/>
      <c r="I37" s="846"/>
      <c r="J37" s="846"/>
      <c r="K37" s="846"/>
      <c r="L37" s="846"/>
      <c r="M37" s="846"/>
      <c r="N37" s="846"/>
      <c r="O37" s="846"/>
      <c r="P37" s="846"/>
      <c r="Q37" s="846"/>
      <c r="R37" s="846"/>
      <c r="S37" s="846"/>
    </row>
    <row r="38" spans="2:19" x14ac:dyDescent="0.55000000000000004">
      <c r="B38" s="846"/>
      <c r="C38" s="846"/>
      <c r="D38" s="846"/>
      <c r="E38" s="846"/>
      <c r="F38" s="846"/>
      <c r="G38" s="846"/>
      <c r="H38" s="846"/>
      <c r="I38" s="846"/>
      <c r="J38" s="846"/>
      <c r="K38" s="846"/>
      <c r="L38" s="846"/>
      <c r="M38" s="846"/>
      <c r="N38" s="846"/>
      <c r="O38" s="846"/>
      <c r="P38" s="846"/>
      <c r="Q38" s="846"/>
      <c r="R38" s="846"/>
      <c r="S38" s="846"/>
    </row>
    <row r="39" spans="2:19" x14ac:dyDescent="0.55000000000000004">
      <c r="B39" s="846"/>
      <c r="C39" s="846"/>
      <c r="D39" s="846"/>
      <c r="E39" s="846"/>
      <c r="F39" s="846"/>
      <c r="G39" s="846"/>
      <c r="H39" s="846"/>
      <c r="I39" s="846"/>
      <c r="J39" s="846"/>
      <c r="K39" s="846"/>
      <c r="L39" s="846"/>
      <c r="M39" s="846"/>
      <c r="N39" s="846"/>
      <c r="O39" s="846"/>
      <c r="P39" s="846"/>
      <c r="Q39" s="846"/>
      <c r="R39" s="846"/>
      <c r="S39" s="846"/>
    </row>
    <row r="40" spans="2:19" x14ac:dyDescent="0.55000000000000004">
      <c r="G40" s="8"/>
      <c r="H40" s="8"/>
      <c r="I40" s="8"/>
      <c r="J40" s="8"/>
      <c r="K40" s="8"/>
      <c r="L40" s="8"/>
    </row>
    <row r="41" spans="2:19" x14ac:dyDescent="0.55000000000000004">
      <c r="G41" s="8"/>
      <c r="H41" s="8"/>
      <c r="I41" s="8"/>
      <c r="J41" s="8"/>
      <c r="K41" s="8"/>
      <c r="L41" s="8"/>
    </row>
    <row r="42" spans="2:19" x14ac:dyDescent="0.55000000000000004">
      <c r="G42" s="8"/>
      <c r="H42" s="8"/>
      <c r="I42" s="8"/>
      <c r="J42" s="8"/>
      <c r="K42" s="8"/>
      <c r="L42" s="8"/>
    </row>
    <row r="43" spans="2:19" x14ac:dyDescent="0.55000000000000004">
      <c r="G43" s="8"/>
      <c r="H43" s="8"/>
      <c r="I43" s="8"/>
      <c r="J43" s="8"/>
      <c r="K43" s="8"/>
      <c r="L43" s="8"/>
    </row>
    <row r="44" spans="2:19" x14ac:dyDescent="0.55000000000000004">
      <c r="G44" s="8"/>
      <c r="H44" s="8"/>
      <c r="I44" s="8"/>
      <c r="J44" s="8"/>
      <c r="K44" s="8"/>
      <c r="L44" s="8"/>
    </row>
    <row r="45" spans="2:19" x14ac:dyDescent="0.55000000000000004">
      <c r="G45" s="8"/>
      <c r="H45" s="8"/>
      <c r="I45" s="8"/>
      <c r="J45" s="8"/>
      <c r="K45" s="8"/>
      <c r="L45" s="8"/>
    </row>
    <row r="46" spans="2:19" x14ac:dyDescent="0.55000000000000004">
      <c r="G46" s="8"/>
      <c r="H46" s="8"/>
      <c r="I46" s="8"/>
      <c r="J46" s="8"/>
      <c r="K46" s="8"/>
      <c r="L46" s="8"/>
    </row>
    <row r="47" spans="2:19" x14ac:dyDescent="0.55000000000000004">
      <c r="G47" s="8"/>
      <c r="H47" s="8"/>
      <c r="I47" s="8"/>
      <c r="J47" s="8"/>
      <c r="K47" s="8"/>
      <c r="L47" s="8"/>
    </row>
    <row r="48" spans="2:19" x14ac:dyDescent="0.55000000000000004">
      <c r="G48" s="8"/>
      <c r="H48" s="8"/>
      <c r="I48" s="8"/>
      <c r="J48" s="8"/>
      <c r="K48" s="8"/>
      <c r="L48" s="8"/>
    </row>
    <row r="49" spans="7:12" x14ac:dyDescent="0.55000000000000004">
      <c r="G49" s="8"/>
      <c r="H49" s="8"/>
      <c r="I49" s="8"/>
      <c r="J49" s="8"/>
      <c r="K49" s="8"/>
      <c r="L49" s="8"/>
    </row>
    <row r="50" spans="7:12" x14ac:dyDescent="0.55000000000000004">
      <c r="G50" s="8"/>
      <c r="H50" s="8"/>
      <c r="I50" s="8"/>
      <c r="J50" s="8"/>
      <c r="K50" s="8"/>
      <c r="L50" s="8"/>
    </row>
    <row r="51" spans="7:12" x14ac:dyDescent="0.55000000000000004">
      <c r="G51" s="8"/>
      <c r="H51" s="8"/>
      <c r="I51" s="8"/>
      <c r="J51" s="8"/>
      <c r="K51" s="8"/>
      <c r="L51" s="8"/>
    </row>
    <row r="52" spans="7:12" x14ac:dyDescent="0.55000000000000004">
      <c r="G52" s="8"/>
      <c r="H52" s="8"/>
      <c r="I52" s="8"/>
      <c r="J52" s="8"/>
      <c r="K52" s="8"/>
      <c r="L52" s="8"/>
    </row>
    <row r="53" spans="7:12" x14ac:dyDescent="0.55000000000000004">
      <c r="G53" s="8"/>
      <c r="H53" s="8"/>
      <c r="I53" s="8"/>
      <c r="J53" s="8"/>
      <c r="K53" s="8"/>
      <c r="L53" s="8"/>
    </row>
    <row r="54" spans="7:12" x14ac:dyDescent="0.55000000000000004">
      <c r="G54" s="8"/>
      <c r="H54" s="8"/>
      <c r="I54" s="8"/>
      <c r="J54" s="8"/>
      <c r="K54" s="8"/>
      <c r="L54" s="8"/>
    </row>
    <row r="55" spans="7:12" x14ac:dyDescent="0.55000000000000004">
      <c r="G55" s="8"/>
      <c r="H55" s="8"/>
      <c r="I55" s="8"/>
      <c r="J55" s="8"/>
      <c r="K55" s="8"/>
      <c r="L55" s="8"/>
    </row>
    <row r="56" spans="7:12" x14ac:dyDescent="0.55000000000000004">
      <c r="G56" s="8"/>
      <c r="H56" s="8"/>
      <c r="I56" s="8"/>
      <c r="J56" s="8"/>
      <c r="K56" s="8"/>
      <c r="L56" s="8"/>
    </row>
    <row r="57" spans="7:12" x14ac:dyDescent="0.55000000000000004">
      <c r="G57" s="8"/>
      <c r="H57" s="8"/>
      <c r="I57" s="8"/>
      <c r="J57" s="8"/>
      <c r="K57" s="8"/>
      <c r="L57" s="8"/>
    </row>
    <row r="58" spans="7:12" x14ac:dyDescent="0.55000000000000004">
      <c r="G58" s="8"/>
      <c r="H58" s="8"/>
      <c r="I58" s="8"/>
      <c r="J58" s="8"/>
      <c r="K58" s="8"/>
      <c r="L58" s="8"/>
    </row>
    <row r="59" spans="7:12" x14ac:dyDescent="0.55000000000000004">
      <c r="G59" s="8"/>
      <c r="H59" s="8"/>
      <c r="I59" s="8"/>
      <c r="J59" s="8"/>
      <c r="K59" s="8"/>
      <c r="L59" s="8"/>
    </row>
    <row r="60" spans="7:12" x14ac:dyDescent="0.55000000000000004">
      <c r="G60" s="8"/>
      <c r="H60" s="8"/>
      <c r="I60" s="8"/>
      <c r="J60" s="8"/>
      <c r="K60" s="8"/>
      <c r="L60" s="8"/>
    </row>
    <row r="61" spans="7:12" x14ac:dyDescent="0.55000000000000004">
      <c r="G61" s="8"/>
      <c r="H61" s="8"/>
      <c r="I61" s="8"/>
      <c r="J61" s="8"/>
      <c r="K61" s="8"/>
      <c r="L61" s="8"/>
    </row>
    <row r="62" spans="7:12" x14ac:dyDescent="0.55000000000000004">
      <c r="G62" s="8"/>
      <c r="H62" s="8"/>
      <c r="I62" s="8"/>
      <c r="J62" s="8"/>
      <c r="K62" s="8"/>
      <c r="L62" s="8"/>
    </row>
    <row r="63" spans="7:12" x14ac:dyDescent="0.55000000000000004">
      <c r="G63" s="8"/>
      <c r="H63" s="8"/>
      <c r="I63" s="8"/>
      <c r="J63" s="8"/>
      <c r="K63" s="8"/>
      <c r="L63" s="8"/>
    </row>
    <row r="64" spans="7:12" x14ac:dyDescent="0.55000000000000004">
      <c r="G64" s="8"/>
      <c r="H64" s="8"/>
      <c r="I64" s="8"/>
      <c r="J64" s="8"/>
      <c r="K64" s="8"/>
      <c r="L64" s="8"/>
    </row>
    <row r="65" spans="7:12" x14ac:dyDescent="0.55000000000000004">
      <c r="G65" s="8"/>
      <c r="H65" s="8"/>
      <c r="I65" s="8"/>
      <c r="J65" s="8"/>
      <c r="K65" s="8"/>
      <c r="L65" s="8"/>
    </row>
    <row r="66" spans="7:12" x14ac:dyDescent="0.55000000000000004">
      <c r="G66" s="8"/>
      <c r="H66" s="8"/>
      <c r="I66" s="8"/>
      <c r="J66" s="8"/>
      <c r="K66" s="8"/>
      <c r="L66" s="8"/>
    </row>
    <row r="67" spans="7:12" x14ac:dyDescent="0.55000000000000004">
      <c r="G67" s="8"/>
      <c r="H67" s="8"/>
      <c r="I67" s="8"/>
      <c r="J67" s="8"/>
      <c r="K67" s="8"/>
      <c r="L67" s="8"/>
    </row>
    <row r="68" spans="7:12" x14ac:dyDescent="0.55000000000000004">
      <c r="G68" s="8"/>
      <c r="H68" s="8"/>
      <c r="I68" s="8"/>
      <c r="J68" s="8"/>
      <c r="K68" s="8"/>
      <c r="L68" s="8"/>
    </row>
    <row r="69" spans="7:12" x14ac:dyDescent="0.55000000000000004">
      <c r="G69" s="8"/>
      <c r="H69" s="8"/>
      <c r="I69" s="8"/>
      <c r="J69" s="8"/>
      <c r="K69" s="8"/>
      <c r="L69" s="8"/>
    </row>
    <row r="70" spans="7:12" x14ac:dyDescent="0.55000000000000004">
      <c r="G70" s="8"/>
      <c r="H70" s="8"/>
      <c r="I70" s="8"/>
      <c r="J70" s="8"/>
      <c r="K70" s="8"/>
      <c r="L70" s="8"/>
    </row>
    <row r="71" spans="7:12" x14ac:dyDescent="0.55000000000000004">
      <c r="G71" s="8"/>
      <c r="H71" s="8"/>
      <c r="I71" s="8"/>
      <c r="J71" s="8"/>
      <c r="K71" s="8"/>
      <c r="L71" s="8"/>
    </row>
    <row r="72" spans="7:12" x14ac:dyDescent="0.55000000000000004">
      <c r="G72" s="8"/>
      <c r="H72" s="8"/>
      <c r="I72" s="8"/>
      <c r="J72" s="8"/>
      <c r="K72" s="8"/>
      <c r="L72" s="8"/>
    </row>
    <row r="73" spans="7:12" x14ac:dyDescent="0.55000000000000004">
      <c r="G73" s="8"/>
      <c r="H73" s="8"/>
      <c r="I73" s="8"/>
      <c r="J73" s="8"/>
      <c r="K73" s="8"/>
      <c r="L73" s="8"/>
    </row>
    <row r="74" spans="7:12" x14ac:dyDescent="0.55000000000000004">
      <c r="G74" s="8"/>
      <c r="H74" s="8"/>
      <c r="I74" s="8"/>
      <c r="J74" s="8"/>
      <c r="K74" s="8"/>
      <c r="L74" s="8"/>
    </row>
    <row r="75" spans="7:12" x14ac:dyDescent="0.55000000000000004">
      <c r="G75" s="8"/>
      <c r="H75" s="8"/>
      <c r="I75" s="8"/>
      <c r="J75" s="8"/>
      <c r="K75" s="8"/>
      <c r="L75" s="8"/>
    </row>
    <row r="76" spans="7:12" x14ac:dyDescent="0.55000000000000004">
      <c r="G76" s="8"/>
      <c r="H76" s="8"/>
      <c r="I76" s="8"/>
      <c r="J76" s="8"/>
      <c r="K76" s="8"/>
      <c r="L76" s="8"/>
    </row>
    <row r="77" spans="7:12" x14ac:dyDescent="0.55000000000000004">
      <c r="G77" s="8"/>
      <c r="H77" s="8"/>
      <c r="I77" s="8"/>
      <c r="J77" s="8"/>
      <c r="K77" s="8"/>
      <c r="L77" s="8"/>
    </row>
    <row r="78" spans="7:12" x14ac:dyDescent="0.55000000000000004">
      <c r="G78" s="8"/>
      <c r="H78" s="8"/>
      <c r="I78" s="8"/>
      <c r="J78" s="8"/>
      <c r="K78" s="8"/>
      <c r="L78" s="8"/>
    </row>
    <row r="79" spans="7:12" x14ac:dyDescent="0.55000000000000004">
      <c r="G79" s="8"/>
      <c r="H79" s="8"/>
      <c r="I79" s="8"/>
      <c r="J79" s="8"/>
      <c r="K79" s="8"/>
      <c r="L79" s="8"/>
    </row>
    <row r="80" spans="7:12" x14ac:dyDescent="0.55000000000000004">
      <c r="G80" s="8"/>
      <c r="H80" s="8"/>
      <c r="I80" s="8"/>
      <c r="J80" s="8"/>
      <c r="K80" s="8"/>
      <c r="L80" s="8"/>
    </row>
    <row r="81" spans="7:12" x14ac:dyDescent="0.55000000000000004">
      <c r="G81" s="8"/>
      <c r="H81" s="8"/>
      <c r="I81" s="8"/>
      <c r="J81" s="8"/>
      <c r="K81" s="8"/>
      <c r="L81" s="8"/>
    </row>
    <row r="82" spans="7:12" x14ac:dyDescent="0.55000000000000004">
      <c r="G82" s="8"/>
      <c r="H82" s="8"/>
      <c r="I82" s="8"/>
      <c r="J82" s="8"/>
      <c r="K82" s="8"/>
      <c r="L82" s="8"/>
    </row>
    <row r="83" spans="7:12" x14ac:dyDescent="0.55000000000000004">
      <c r="G83" s="8"/>
      <c r="H83" s="8"/>
      <c r="I83" s="8"/>
      <c r="J83" s="8"/>
      <c r="K83" s="8"/>
      <c r="L83" s="8"/>
    </row>
    <row r="84" spans="7:12" x14ac:dyDescent="0.55000000000000004">
      <c r="G84" s="8"/>
      <c r="H84" s="8"/>
      <c r="I84" s="8"/>
      <c r="J84" s="8"/>
      <c r="K84" s="8"/>
      <c r="L84" s="8"/>
    </row>
    <row r="85" spans="7:12" x14ac:dyDescent="0.55000000000000004">
      <c r="G85" s="8"/>
      <c r="H85" s="8"/>
      <c r="I85" s="8"/>
      <c r="J85" s="8"/>
      <c r="K85" s="8"/>
      <c r="L85" s="8"/>
    </row>
    <row r="86" spans="7:12" x14ac:dyDescent="0.55000000000000004">
      <c r="G86" s="8"/>
      <c r="H86" s="8"/>
      <c r="I86" s="8"/>
      <c r="J86" s="8"/>
      <c r="K86" s="8"/>
      <c r="L86" s="8"/>
    </row>
    <row r="87" spans="7:12" x14ac:dyDescent="0.55000000000000004">
      <c r="G87" s="8"/>
      <c r="H87" s="8"/>
      <c r="I87" s="8"/>
      <c r="J87" s="8"/>
      <c r="K87" s="8"/>
      <c r="L87" s="8"/>
    </row>
    <row r="88" spans="7:12" x14ac:dyDescent="0.55000000000000004">
      <c r="G88" s="8"/>
      <c r="H88" s="8"/>
      <c r="I88" s="8"/>
      <c r="J88" s="8"/>
      <c r="K88" s="8"/>
      <c r="L88" s="8"/>
    </row>
    <row r="89" spans="7:12" x14ac:dyDescent="0.55000000000000004">
      <c r="G89" s="8"/>
      <c r="H89" s="8"/>
      <c r="I89" s="8"/>
      <c r="J89" s="8"/>
      <c r="K89" s="8"/>
      <c r="L89" s="8"/>
    </row>
    <row r="90" spans="7:12" x14ac:dyDescent="0.55000000000000004">
      <c r="G90" s="8"/>
      <c r="H90" s="8"/>
      <c r="I90" s="8"/>
      <c r="J90" s="8"/>
      <c r="K90" s="8"/>
      <c r="L90" s="8"/>
    </row>
    <row r="91" spans="7:12" x14ac:dyDescent="0.55000000000000004">
      <c r="G91" s="8"/>
      <c r="H91" s="8"/>
      <c r="I91" s="8"/>
      <c r="J91" s="8"/>
      <c r="K91" s="8"/>
      <c r="L91" s="8"/>
    </row>
    <row r="92" spans="7:12" x14ac:dyDescent="0.55000000000000004">
      <c r="G92" s="8"/>
      <c r="H92" s="8"/>
      <c r="I92" s="8"/>
      <c r="J92" s="8"/>
      <c r="K92" s="8"/>
      <c r="L92" s="8"/>
    </row>
    <row r="93" spans="7:12" x14ac:dyDescent="0.55000000000000004">
      <c r="G93" s="8"/>
      <c r="H93" s="8"/>
      <c r="I93" s="8"/>
      <c r="J93" s="8"/>
      <c r="K93" s="8"/>
      <c r="L93" s="8"/>
    </row>
    <row r="94" spans="7:12" x14ac:dyDescent="0.55000000000000004">
      <c r="G94" s="8"/>
      <c r="H94" s="8"/>
      <c r="I94" s="8"/>
      <c r="J94" s="8"/>
      <c r="K94" s="8"/>
      <c r="L94" s="8"/>
    </row>
    <row r="95" spans="7:12" x14ac:dyDescent="0.55000000000000004">
      <c r="G95" s="8"/>
      <c r="H95" s="8"/>
      <c r="I95" s="8"/>
      <c r="J95" s="8"/>
      <c r="K95" s="8"/>
      <c r="L95" s="8"/>
    </row>
    <row r="96" spans="7:12" x14ac:dyDescent="0.55000000000000004">
      <c r="G96" s="8"/>
      <c r="H96" s="8"/>
      <c r="I96" s="8"/>
      <c r="J96" s="8"/>
      <c r="K96" s="8"/>
      <c r="L96" s="8"/>
    </row>
    <row r="97" spans="7:12" x14ac:dyDescent="0.55000000000000004">
      <c r="G97" s="8"/>
      <c r="H97" s="8"/>
      <c r="I97" s="8"/>
      <c r="J97" s="8"/>
      <c r="K97" s="8"/>
      <c r="L97" s="8"/>
    </row>
    <row r="98" spans="7:12" x14ac:dyDescent="0.55000000000000004">
      <c r="G98" s="8"/>
      <c r="H98" s="8"/>
      <c r="I98" s="8"/>
      <c r="J98" s="8"/>
      <c r="K98" s="8"/>
      <c r="L98" s="8"/>
    </row>
    <row r="99" spans="7:12" x14ac:dyDescent="0.55000000000000004">
      <c r="G99" s="8"/>
      <c r="H99" s="8"/>
      <c r="I99" s="8"/>
      <c r="J99" s="8"/>
      <c r="K99" s="8"/>
      <c r="L99" s="8"/>
    </row>
    <row r="100" spans="7:12" x14ac:dyDescent="0.55000000000000004">
      <c r="G100" s="8"/>
      <c r="H100" s="8"/>
      <c r="I100" s="8"/>
      <c r="J100" s="8"/>
      <c r="K100" s="8"/>
      <c r="L100" s="8"/>
    </row>
    <row r="101" spans="7:12" x14ac:dyDescent="0.55000000000000004">
      <c r="G101" s="8"/>
      <c r="H101" s="8"/>
      <c r="I101" s="8"/>
      <c r="J101" s="8"/>
      <c r="K101" s="8"/>
      <c r="L101" s="8"/>
    </row>
    <row r="102" spans="7:12" x14ac:dyDescent="0.55000000000000004">
      <c r="G102" s="8"/>
      <c r="H102" s="8"/>
      <c r="I102" s="8"/>
      <c r="J102" s="8"/>
      <c r="K102" s="8"/>
      <c r="L102" s="8"/>
    </row>
    <row r="103" spans="7:12" x14ac:dyDescent="0.55000000000000004">
      <c r="G103" s="8"/>
      <c r="H103" s="8"/>
      <c r="I103" s="8"/>
      <c r="J103" s="8"/>
      <c r="K103" s="8"/>
      <c r="L103" s="8"/>
    </row>
    <row r="104" spans="7:12" x14ac:dyDescent="0.55000000000000004">
      <c r="G104" s="8"/>
      <c r="H104" s="8"/>
      <c r="I104" s="8"/>
      <c r="J104" s="8"/>
      <c r="K104" s="8"/>
      <c r="L104" s="8"/>
    </row>
    <row r="105" spans="7:12" x14ac:dyDescent="0.55000000000000004">
      <c r="G105" s="8"/>
      <c r="H105" s="8"/>
      <c r="I105" s="8"/>
      <c r="J105" s="8"/>
      <c r="K105" s="8"/>
      <c r="L105" s="8"/>
    </row>
    <row r="106" spans="7:12" x14ac:dyDescent="0.55000000000000004">
      <c r="G106" s="8"/>
      <c r="H106" s="8"/>
      <c r="I106" s="8"/>
      <c r="J106" s="8"/>
      <c r="K106" s="8"/>
      <c r="L106" s="8"/>
    </row>
    <row r="107" spans="7:12" x14ac:dyDescent="0.55000000000000004">
      <c r="G107" s="8"/>
      <c r="H107" s="8"/>
      <c r="I107" s="8"/>
      <c r="J107" s="8"/>
      <c r="K107" s="8"/>
      <c r="L107" s="8"/>
    </row>
    <row r="108" spans="7:12" x14ac:dyDescent="0.55000000000000004">
      <c r="G108" s="8"/>
      <c r="H108" s="8"/>
      <c r="I108" s="8"/>
      <c r="J108" s="8"/>
      <c r="K108" s="8"/>
      <c r="L108" s="8"/>
    </row>
    <row r="109" spans="7:12" x14ac:dyDescent="0.55000000000000004">
      <c r="G109" s="8"/>
      <c r="H109" s="8"/>
      <c r="I109" s="8"/>
      <c r="J109" s="8"/>
      <c r="K109" s="8"/>
      <c r="L109" s="8"/>
    </row>
    <row r="110" spans="7:12" x14ac:dyDescent="0.55000000000000004">
      <c r="G110" s="8"/>
      <c r="H110" s="8"/>
      <c r="I110" s="8"/>
      <c r="J110" s="8"/>
      <c r="K110" s="8"/>
      <c r="L110" s="8"/>
    </row>
    <row r="111" spans="7:12" x14ac:dyDescent="0.55000000000000004">
      <c r="G111" s="8"/>
      <c r="H111" s="8"/>
      <c r="I111" s="8"/>
      <c r="J111" s="8"/>
      <c r="K111" s="8"/>
      <c r="L111" s="8"/>
    </row>
    <row r="112" spans="7:12" x14ac:dyDescent="0.55000000000000004">
      <c r="G112" s="8"/>
      <c r="H112" s="8"/>
      <c r="I112" s="8"/>
      <c r="J112" s="8"/>
      <c r="K112" s="8"/>
      <c r="L112" s="8"/>
    </row>
    <row r="113" spans="7:12" x14ac:dyDescent="0.55000000000000004">
      <c r="G113" s="8"/>
      <c r="H113" s="8"/>
      <c r="I113" s="8"/>
      <c r="J113" s="8"/>
      <c r="K113" s="8"/>
      <c r="L113" s="8"/>
    </row>
    <row r="114" spans="7:12" x14ac:dyDescent="0.55000000000000004">
      <c r="G114" s="8"/>
      <c r="H114" s="8"/>
      <c r="I114" s="8"/>
      <c r="J114" s="8"/>
      <c r="K114" s="8"/>
      <c r="L114" s="8"/>
    </row>
    <row r="115" spans="7:12" x14ac:dyDescent="0.55000000000000004">
      <c r="G115" s="8"/>
      <c r="H115" s="8"/>
      <c r="I115" s="8"/>
      <c r="J115" s="8"/>
      <c r="K115" s="8"/>
      <c r="L115" s="8"/>
    </row>
    <row r="116" spans="7:12" x14ac:dyDescent="0.55000000000000004">
      <c r="G116" s="8"/>
      <c r="H116" s="8"/>
      <c r="I116" s="8"/>
      <c r="J116" s="8"/>
      <c r="K116" s="8"/>
      <c r="L116" s="8"/>
    </row>
    <row r="117" spans="7:12" x14ac:dyDescent="0.55000000000000004">
      <c r="G117" s="8"/>
      <c r="H117" s="8"/>
      <c r="I117" s="8"/>
      <c r="J117" s="8"/>
      <c r="K117" s="8"/>
      <c r="L117" s="8"/>
    </row>
    <row r="118" spans="7:12" x14ac:dyDescent="0.55000000000000004">
      <c r="G118" s="8"/>
      <c r="H118" s="8"/>
      <c r="I118" s="8"/>
      <c r="J118" s="8"/>
      <c r="K118" s="8"/>
      <c r="L118" s="8"/>
    </row>
    <row r="119" spans="7:12" x14ac:dyDescent="0.55000000000000004">
      <c r="G119" s="8"/>
      <c r="H119" s="8"/>
      <c r="I119" s="8"/>
      <c r="J119" s="8"/>
      <c r="K119" s="8"/>
      <c r="L119" s="8"/>
    </row>
    <row r="120" spans="7:12" x14ac:dyDescent="0.55000000000000004">
      <c r="G120" s="8"/>
      <c r="H120" s="8"/>
      <c r="I120" s="8"/>
      <c r="J120" s="8"/>
      <c r="K120" s="8"/>
      <c r="L120" s="8"/>
    </row>
    <row r="121" spans="7:12" x14ac:dyDescent="0.55000000000000004">
      <c r="G121" s="8"/>
      <c r="H121" s="8"/>
      <c r="I121" s="8"/>
      <c r="J121" s="8"/>
      <c r="K121" s="8"/>
      <c r="L121" s="8"/>
    </row>
    <row r="122" spans="7:12" x14ac:dyDescent="0.55000000000000004">
      <c r="G122" s="8"/>
      <c r="H122" s="8"/>
      <c r="I122" s="8"/>
      <c r="J122" s="8"/>
      <c r="K122" s="8"/>
      <c r="L122" s="8"/>
    </row>
    <row r="123" spans="7:12" x14ac:dyDescent="0.55000000000000004">
      <c r="G123" s="8"/>
      <c r="H123" s="8"/>
      <c r="I123" s="8"/>
      <c r="J123" s="8"/>
      <c r="K123" s="8"/>
      <c r="L123" s="8"/>
    </row>
    <row r="124" spans="7:12" x14ac:dyDescent="0.55000000000000004">
      <c r="G124" s="8"/>
      <c r="H124" s="8"/>
      <c r="I124" s="8"/>
      <c r="J124" s="8"/>
      <c r="K124" s="8"/>
      <c r="L124" s="8"/>
    </row>
    <row r="125" spans="7:12" x14ac:dyDescent="0.55000000000000004">
      <c r="G125" s="8"/>
      <c r="H125" s="8"/>
      <c r="I125" s="8"/>
      <c r="J125" s="8"/>
      <c r="K125" s="8"/>
      <c r="L125" s="8"/>
    </row>
    <row r="126" spans="7:12" x14ac:dyDescent="0.55000000000000004">
      <c r="G126" s="8"/>
      <c r="H126" s="8"/>
      <c r="I126" s="8"/>
      <c r="J126" s="8"/>
      <c r="K126" s="8"/>
      <c r="L126" s="8"/>
    </row>
    <row r="127" spans="7:12" x14ac:dyDescent="0.55000000000000004">
      <c r="G127" s="8"/>
      <c r="H127" s="8"/>
      <c r="I127" s="8"/>
      <c r="J127" s="8"/>
      <c r="K127" s="8"/>
      <c r="L127" s="8"/>
    </row>
    <row r="128" spans="7:12" x14ac:dyDescent="0.55000000000000004">
      <c r="G128" s="8"/>
      <c r="H128" s="8"/>
      <c r="I128" s="8"/>
      <c r="J128" s="8"/>
      <c r="K128" s="8"/>
      <c r="L128" s="8"/>
    </row>
    <row r="129" spans="7:12" x14ac:dyDescent="0.55000000000000004">
      <c r="G129" s="8"/>
      <c r="H129" s="8"/>
      <c r="I129" s="8"/>
      <c r="J129" s="8"/>
      <c r="K129" s="8"/>
      <c r="L129" s="8"/>
    </row>
    <row r="130" spans="7:12" x14ac:dyDescent="0.55000000000000004">
      <c r="G130" s="8"/>
      <c r="H130" s="8"/>
      <c r="I130" s="8"/>
      <c r="J130" s="8"/>
      <c r="K130" s="8"/>
      <c r="L130" s="8"/>
    </row>
    <row r="131" spans="7:12" x14ac:dyDescent="0.55000000000000004">
      <c r="G131" s="8"/>
      <c r="H131" s="8"/>
      <c r="I131" s="8"/>
      <c r="J131" s="8"/>
      <c r="K131" s="8"/>
      <c r="L131" s="8"/>
    </row>
    <row r="132" spans="7:12" x14ac:dyDescent="0.55000000000000004">
      <c r="G132" s="8"/>
      <c r="H132" s="8"/>
      <c r="I132" s="8"/>
      <c r="J132" s="8"/>
      <c r="K132" s="8"/>
      <c r="L132" s="8"/>
    </row>
    <row r="133" spans="7:12" x14ac:dyDescent="0.55000000000000004">
      <c r="G133" s="8"/>
      <c r="H133" s="8"/>
      <c r="I133" s="8"/>
      <c r="J133" s="8"/>
      <c r="K133" s="8"/>
      <c r="L133" s="8"/>
    </row>
    <row r="134" spans="7:12" x14ac:dyDescent="0.55000000000000004">
      <c r="G134" s="8"/>
      <c r="H134" s="8"/>
      <c r="I134" s="8"/>
      <c r="J134" s="8"/>
      <c r="K134" s="8"/>
      <c r="L134" s="8"/>
    </row>
    <row r="135" spans="7:12" x14ac:dyDescent="0.55000000000000004">
      <c r="G135" s="8"/>
      <c r="H135" s="8"/>
      <c r="I135" s="8"/>
      <c r="J135" s="8"/>
      <c r="K135" s="8"/>
      <c r="L135" s="8"/>
    </row>
    <row r="136" spans="7:12" x14ac:dyDescent="0.55000000000000004">
      <c r="G136" s="8"/>
      <c r="H136" s="8"/>
      <c r="I136" s="8"/>
      <c r="J136" s="8"/>
      <c r="K136" s="8"/>
      <c r="L136" s="8"/>
    </row>
    <row r="137" spans="7:12" x14ac:dyDescent="0.55000000000000004">
      <c r="G137" s="8"/>
      <c r="H137" s="8"/>
      <c r="I137" s="8"/>
      <c r="J137" s="8"/>
      <c r="K137" s="8"/>
      <c r="L137" s="8"/>
    </row>
    <row r="138" spans="7:12" x14ac:dyDescent="0.55000000000000004">
      <c r="G138" s="8"/>
      <c r="H138" s="8"/>
      <c r="I138" s="8"/>
      <c r="J138" s="8"/>
      <c r="K138" s="8"/>
      <c r="L138" s="8"/>
    </row>
    <row r="139" spans="7:12" x14ac:dyDescent="0.55000000000000004">
      <c r="G139" s="8"/>
      <c r="H139" s="8"/>
      <c r="I139" s="8"/>
      <c r="J139" s="8"/>
      <c r="K139" s="8"/>
      <c r="L139" s="8"/>
    </row>
    <row r="140" spans="7:12" x14ac:dyDescent="0.55000000000000004">
      <c r="G140" s="8"/>
      <c r="H140" s="8"/>
      <c r="I140" s="8"/>
      <c r="J140" s="8"/>
      <c r="K140" s="8"/>
      <c r="L140" s="8"/>
    </row>
    <row r="141" spans="7:12" x14ac:dyDescent="0.55000000000000004">
      <c r="G141" s="8"/>
      <c r="H141" s="8"/>
      <c r="I141" s="8"/>
      <c r="J141" s="8"/>
      <c r="K141" s="8"/>
      <c r="L141" s="8"/>
    </row>
    <row r="142" spans="7:12" x14ac:dyDescent="0.55000000000000004">
      <c r="G142" s="8"/>
      <c r="H142" s="8"/>
      <c r="I142" s="8"/>
      <c r="J142" s="8"/>
      <c r="K142" s="8"/>
      <c r="L142" s="8"/>
    </row>
    <row r="143" spans="7:12" x14ac:dyDescent="0.55000000000000004">
      <c r="G143" s="8"/>
      <c r="H143" s="8"/>
      <c r="I143" s="8"/>
      <c r="J143" s="8"/>
      <c r="K143" s="8"/>
      <c r="L143" s="8"/>
    </row>
    <row r="144" spans="7:12" x14ac:dyDescent="0.55000000000000004">
      <c r="G144" s="8"/>
      <c r="H144" s="8"/>
      <c r="I144" s="8"/>
      <c r="J144" s="8"/>
      <c r="K144" s="8"/>
      <c r="L144" s="8"/>
    </row>
    <row r="145" spans="7:12" x14ac:dyDescent="0.55000000000000004">
      <c r="G145" s="8"/>
      <c r="H145" s="8"/>
      <c r="I145" s="8"/>
      <c r="J145" s="8"/>
      <c r="K145" s="8"/>
      <c r="L145" s="8"/>
    </row>
    <row r="146" spans="7:12" x14ac:dyDescent="0.55000000000000004">
      <c r="G146" s="8"/>
      <c r="H146" s="8"/>
      <c r="I146" s="8"/>
      <c r="J146" s="8"/>
      <c r="K146" s="8"/>
      <c r="L146" s="8"/>
    </row>
    <row r="147" spans="7:12" x14ac:dyDescent="0.55000000000000004">
      <c r="G147" s="8"/>
      <c r="H147" s="8"/>
      <c r="I147" s="8"/>
      <c r="J147" s="8"/>
      <c r="K147" s="8"/>
      <c r="L147" s="8"/>
    </row>
    <row r="148" spans="7:12" x14ac:dyDescent="0.55000000000000004">
      <c r="G148" s="8"/>
      <c r="H148" s="8"/>
      <c r="I148" s="8"/>
      <c r="J148" s="8"/>
      <c r="K148" s="8"/>
      <c r="L148" s="8"/>
    </row>
    <row r="149" spans="7:12" x14ac:dyDescent="0.55000000000000004">
      <c r="G149" s="8"/>
      <c r="H149" s="8"/>
      <c r="I149" s="8"/>
      <c r="J149" s="8"/>
      <c r="K149" s="8"/>
      <c r="L149" s="8"/>
    </row>
    <row r="150" spans="7:12" x14ac:dyDescent="0.55000000000000004">
      <c r="G150" s="8"/>
      <c r="H150" s="8"/>
      <c r="I150" s="8"/>
      <c r="J150" s="8"/>
      <c r="K150" s="8"/>
      <c r="L150" s="8"/>
    </row>
    <row r="151" spans="7:12" x14ac:dyDescent="0.55000000000000004">
      <c r="G151" s="8"/>
      <c r="H151" s="8"/>
      <c r="I151" s="8"/>
      <c r="J151" s="8"/>
      <c r="K151" s="8"/>
      <c r="L151" s="8"/>
    </row>
    <row r="152" spans="7:12" x14ac:dyDescent="0.55000000000000004">
      <c r="G152" s="8"/>
      <c r="H152" s="8"/>
      <c r="I152" s="8"/>
      <c r="J152" s="8"/>
      <c r="K152" s="8"/>
      <c r="L152" s="8"/>
    </row>
    <row r="153" spans="7:12" x14ac:dyDescent="0.55000000000000004">
      <c r="G153" s="8"/>
      <c r="H153" s="8"/>
      <c r="I153" s="8"/>
      <c r="J153" s="8"/>
      <c r="K153" s="8"/>
      <c r="L153" s="8"/>
    </row>
    <row r="154" spans="7:12" x14ac:dyDescent="0.55000000000000004">
      <c r="G154" s="8"/>
      <c r="H154" s="8"/>
      <c r="I154" s="8"/>
      <c r="J154" s="8"/>
      <c r="K154" s="8"/>
      <c r="L154" s="8"/>
    </row>
    <row r="155" spans="7:12" x14ac:dyDescent="0.55000000000000004">
      <c r="G155" s="8"/>
      <c r="H155" s="8"/>
      <c r="I155" s="8"/>
      <c r="J155" s="8"/>
      <c r="K155" s="8"/>
      <c r="L155" s="8"/>
    </row>
    <row r="156" spans="7:12" x14ac:dyDescent="0.55000000000000004">
      <c r="G156" s="8"/>
      <c r="H156" s="8"/>
      <c r="I156" s="8"/>
      <c r="J156" s="8"/>
      <c r="K156" s="8"/>
      <c r="L156" s="8"/>
    </row>
    <row r="157" spans="7:12" x14ac:dyDescent="0.55000000000000004">
      <c r="G157" s="8"/>
      <c r="H157" s="8"/>
      <c r="I157" s="8"/>
      <c r="J157" s="8"/>
      <c r="K157" s="8"/>
      <c r="L157" s="8"/>
    </row>
    <row r="158" spans="7:12" x14ac:dyDescent="0.55000000000000004">
      <c r="G158" s="8"/>
      <c r="H158" s="8"/>
      <c r="I158" s="8"/>
      <c r="J158" s="8"/>
      <c r="K158" s="8"/>
      <c r="L158" s="8"/>
    </row>
    <row r="159" spans="7:12" x14ac:dyDescent="0.55000000000000004">
      <c r="G159" s="8"/>
      <c r="H159" s="8"/>
      <c r="I159" s="8"/>
      <c r="J159" s="8"/>
      <c r="K159" s="8"/>
      <c r="L159" s="8"/>
    </row>
    <row r="160" spans="7:12" x14ac:dyDescent="0.55000000000000004">
      <c r="G160" s="8"/>
      <c r="H160" s="8"/>
      <c r="I160" s="8"/>
      <c r="J160" s="8"/>
      <c r="K160" s="8"/>
      <c r="L160" s="8"/>
    </row>
    <row r="161" spans="7:12" x14ac:dyDescent="0.55000000000000004">
      <c r="G161" s="8"/>
      <c r="H161" s="8"/>
      <c r="I161" s="8"/>
      <c r="J161" s="8"/>
      <c r="K161" s="8"/>
      <c r="L161" s="8"/>
    </row>
    <row r="162" spans="7:12" x14ac:dyDescent="0.55000000000000004">
      <c r="G162" s="8"/>
      <c r="H162" s="8"/>
      <c r="I162" s="8"/>
      <c r="J162" s="8"/>
      <c r="K162" s="8"/>
      <c r="L162" s="8"/>
    </row>
    <row r="163" spans="7:12" x14ac:dyDescent="0.55000000000000004">
      <c r="G163" s="8"/>
      <c r="H163" s="8"/>
      <c r="I163" s="8"/>
      <c r="J163" s="8"/>
      <c r="K163" s="8"/>
      <c r="L163" s="8"/>
    </row>
    <row r="164" spans="7:12" x14ac:dyDescent="0.55000000000000004">
      <c r="G164" s="8"/>
      <c r="H164" s="8"/>
      <c r="I164" s="8"/>
      <c r="J164" s="8"/>
      <c r="K164" s="8"/>
      <c r="L164" s="8"/>
    </row>
    <row r="165" spans="7:12" x14ac:dyDescent="0.55000000000000004">
      <c r="G165" s="8"/>
      <c r="H165" s="8"/>
      <c r="I165" s="8"/>
      <c r="J165" s="8"/>
      <c r="K165" s="8"/>
      <c r="L165" s="8"/>
    </row>
    <row r="166" spans="7:12" x14ac:dyDescent="0.55000000000000004">
      <c r="G166" s="8"/>
      <c r="H166" s="8"/>
      <c r="I166" s="8"/>
      <c r="J166" s="8"/>
      <c r="K166" s="8"/>
      <c r="L166" s="8"/>
    </row>
    <row r="167" spans="7:12" x14ac:dyDescent="0.55000000000000004">
      <c r="G167" s="8"/>
      <c r="H167" s="8"/>
      <c r="I167" s="8"/>
      <c r="J167" s="8"/>
      <c r="K167" s="8"/>
      <c r="L167" s="8"/>
    </row>
    <row r="168" spans="7:12" x14ac:dyDescent="0.55000000000000004">
      <c r="G168" s="8"/>
      <c r="H168" s="8"/>
      <c r="I168" s="8"/>
      <c r="J168" s="8"/>
      <c r="K168" s="8"/>
      <c r="L168" s="8"/>
    </row>
    <row r="169" spans="7:12" x14ac:dyDescent="0.55000000000000004">
      <c r="G169" s="8"/>
      <c r="H169" s="8"/>
      <c r="I169" s="8"/>
      <c r="J169" s="8"/>
      <c r="K169" s="8"/>
      <c r="L169" s="8"/>
    </row>
    <row r="170" spans="7:12" x14ac:dyDescent="0.55000000000000004">
      <c r="G170" s="8"/>
      <c r="H170" s="8"/>
      <c r="I170" s="8"/>
      <c r="J170" s="8"/>
      <c r="K170" s="8"/>
      <c r="L170" s="8"/>
    </row>
    <row r="171" spans="7:12" x14ac:dyDescent="0.55000000000000004">
      <c r="G171" s="8"/>
      <c r="H171" s="8"/>
      <c r="I171" s="8"/>
      <c r="J171" s="8"/>
      <c r="K171" s="8"/>
      <c r="L171" s="8"/>
    </row>
    <row r="172" spans="7:12" x14ac:dyDescent="0.55000000000000004">
      <c r="G172" s="8"/>
      <c r="H172" s="8"/>
      <c r="I172" s="8"/>
      <c r="J172" s="8"/>
      <c r="K172" s="8"/>
      <c r="L172" s="8"/>
    </row>
    <row r="173" spans="7:12" x14ac:dyDescent="0.55000000000000004">
      <c r="G173" s="8"/>
      <c r="H173" s="8"/>
      <c r="I173" s="8"/>
      <c r="J173" s="8"/>
      <c r="K173" s="8"/>
      <c r="L173" s="8"/>
    </row>
    <row r="174" spans="7:12" x14ac:dyDescent="0.55000000000000004">
      <c r="G174" s="8"/>
      <c r="H174" s="8"/>
      <c r="I174" s="8"/>
      <c r="J174" s="8"/>
      <c r="K174" s="8"/>
      <c r="L174" s="8"/>
    </row>
    <row r="175" spans="7:12" x14ac:dyDescent="0.55000000000000004">
      <c r="G175" s="8"/>
      <c r="H175" s="8"/>
      <c r="I175" s="8"/>
      <c r="J175" s="8"/>
      <c r="K175" s="8"/>
      <c r="L175" s="8"/>
    </row>
    <row r="176" spans="7:12" x14ac:dyDescent="0.55000000000000004">
      <c r="G176" s="8"/>
      <c r="H176" s="8"/>
      <c r="I176" s="8"/>
      <c r="J176" s="8"/>
      <c r="K176" s="8"/>
      <c r="L176" s="8"/>
    </row>
    <row r="177" spans="7:12" x14ac:dyDescent="0.55000000000000004">
      <c r="G177" s="8"/>
      <c r="H177" s="8"/>
      <c r="I177" s="8"/>
      <c r="J177" s="8"/>
      <c r="K177" s="8"/>
      <c r="L177" s="8"/>
    </row>
    <row r="178" spans="7:12" x14ac:dyDescent="0.55000000000000004">
      <c r="G178" s="8"/>
      <c r="H178" s="8"/>
      <c r="I178" s="8"/>
      <c r="J178" s="8"/>
      <c r="K178" s="8"/>
      <c r="L178" s="8"/>
    </row>
    <row r="179" spans="7:12" x14ac:dyDescent="0.55000000000000004">
      <c r="G179" s="8"/>
      <c r="H179" s="8"/>
      <c r="I179" s="8"/>
      <c r="J179" s="8"/>
      <c r="K179" s="8"/>
      <c r="L179" s="8"/>
    </row>
    <row r="180" spans="7:12" x14ac:dyDescent="0.55000000000000004">
      <c r="G180" s="8"/>
      <c r="H180" s="8"/>
      <c r="I180" s="8"/>
      <c r="J180" s="8"/>
      <c r="K180" s="8"/>
      <c r="L180" s="8"/>
    </row>
    <row r="181" spans="7:12" x14ac:dyDescent="0.55000000000000004">
      <c r="G181" s="8"/>
      <c r="H181" s="8"/>
      <c r="I181" s="8"/>
      <c r="J181" s="8"/>
      <c r="K181" s="8"/>
      <c r="L181" s="8"/>
    </row>
    <row r="182" spans="7:12" x14ac:dyDescent="0.55000000000000004">
      <c r="G182" s="8"/>
      <c r="H182" s="8"/>
      <c r="I182" s="8"/>
      <c r="J182" s="8"/>
      <c r="K182" s="8"/>
      <c r="L182" s="8"/>
    </row>
    <row r="183" spans="7:12" x14ac:dyDescent="0.55000000000000004">
      <c r="G183" s="8"/>
      <c r="H183" s="8"/>
      <c r="I183" s="8"/>
      <c r="J183" s="8"/>
      <c r="K183" s="8"/>
      <c r="L183" s="8"/>
    </row>
    <row r="184" spans="7:12" x14ac:dyDescent="0.55000000000000004">
      <c r="G184" s="8"/>
      <c r="H184" s="8"/>
      <c r="I184" s="8"/>
      <c r="J184" s="8"/>
      <c r="K184" s="8"/>
      <c r="L184" s="8"/>
    </row>
    <row r="185" spans="7:12" x14ac:dyDescent="0.55000000000000004">
      <c r="G185" s="8"/>
      <c r="H185" s="8"/>
      <c r="I185" s="8"/>
      <c r="J185" s="8"/>
      <c r="K185" s="8"/>
      <c r="L185" s="8"/>
    </row>
    <row r="186" spans="7:12" x14ac:dyDescent="0.55000000000000004">
      <c r="G186" s="8"/>
      <c r="H186" s="8"/>
      <c r="I186" s="8"/>
      <c r="J186" s="8"/>
      <c r="K186" s="8"/>
      <c r="L186" s="8"/>
    </row>
    <row r="187" spans="7:12" x14ac:dyDescent="0.55000000000000004">
      <c r="G187" s="8"/>
      <c r="H187" s="8"/>
      <c r="I187" s="8"/>
      <c r="J187" s="8"/>
      <c r="K187" s="8"/>
      <c r="L187" s="8"/>
    </row>
    <row r="188" spans="7:12" x14ac:dyDescent="0.55000000000000004">
      <c r="G188" s="8"/>
      <c r="H188" s="8"/>
      <c r="I188" s="8"/>
      <c r="J188" s="8"/>
      <c r="K188" s="8"/>
      <c r="L188" s="8"/>
    </row>
    <row r="189" spans="7:12" x14ac:dyDescent="0.55000000000000004">
      <c r="G189" s="8"/>
      <c r="H189" s="8"/>
      <c r="I189" s="8"/>
      <c r="J189" s="8"/>
      <c r="K189" s="8"/>
      <c r="L189" s="8"/>
    </row>
    <row r="190" spans="7:12" x14ac:dyDescent="0.55000000000000004">
      <c r="G190" s="8"/>
      <c r="H190" s="8"/>
      <c r="I190" s="8"/>
      <c r="J190" s="8"/>
      <c r="K190" s="8"/>
      <c r="L190" s="8"/>
    </row>
    <row r="191" spans="7:12" x14ac:dyDescent="0.55000000000000004">
      <c r="G191" s="8"/>
      <c r="H191" s="8"/>
      <c r="I191" s="8"/>
      <c r="J191" s="8"/>
      <c r="K191" s="8"/>
      <c r="L191" s="8"/>
    </row>
    <row r="192" spans="7:12" x14ac:dyDescent="0.55000000000000004">
      <c r="G192" s="8"/>
      <c r="H192" s="8"/>
      <c r="I192" s="8"/>
      <c r="J192" s="8"/>
      <c r="K192" s="8"/>
      <c r="L192" s="8"/>
    </row>
    <row r="193" spans="7:12" x14ac:dyDescent="0.55000000000000004">
      <c r="G193" s="8"/>
      <c r="H193" s="8"/>
      <c r="I193" s="8"/>
      <c r="J193" s="8"/>
      <c r="K193" s="8"/>
      <c r="L193" s="8"/>
    </row>
    <row r="194" spans="7:12" x14ac:dyDescent="0.55000000000000004">
      <c r="G194" s="8"/>
      <c r="H194" s="8"/>
      <c r="I194" s="8"/>
      <c r="J194" s="8"/>
      <c r="K194" s="8"/>
      <c r="L194" s="8"/>
    </row>
    <row r="195" spans="7:12" x14ac:dyDescent="0.55000000000000004">
      <c r="G195" s="8"/>
      <c r="H195" s="8"/>
      <c r="I195" s="8"/>
      <c r="J195" s="8"/>
      <c r="K195" s="8"/>
      <c r="L195" s="8"/>
    </row>
    <row r="196" spans="7:12" x14ac:dyDescent="0.55000000000000004">
      <c r="G196" s="8"/>
      <c r="H196" s="8"/>
      <c r="I196" s="8"/>
      <c r="J196" s="8"/>
      <c r="K196" s="8"/>
      <c r="L196" s="8"/>
    </row>
    <row r="197" spans="7:12" x14ac:dyDescent="0.55000000000000004">
      <c r="G197" s="8"/>
      <c r="H197" s="8"/>
      <c r="I197" s="8"/>
      <c r="J197" s="8"/>
      <c r="K197" s="8"/>
      <c r="L197" s="8"/>
    </row>
    <row r="198" spans="7:12" x14ac:dyDescent="0.55000000000000004">
      <c r="G198" s="8"/>
      <c r="H198" s="8"/>
      <c r="I198" s="8"/>
      <c r="J198" s="8"/>
      <c r="K198" s="8"/>
      <c r="L198" s="8"/>
    </row>
    <row r="199" spans="7:12" x14ac:dyDescent="0.55000000000000004">
      <c r="G199" s="8"/>
      <c r="H199" s="8"/>
      <c r="I199" s="8"/>
      <c r="J199" s="8"/>
      <c r="K199" s="8"/>
      <c r="L199" s="8"/>
    </row>
    <row r="200" spans="7:12" x14ac:dyDescent="0.55000000000000004">
      <c r="G200" s="8"/>
      <c r="H200" s="8"/>
      <c r="I200" s="8"/>
      <c r="J200" s="8"/>
      <c r="K200" s="8"/>
      <c r="L200" s="8"/>
    </row>
    <row r="201" spans="7:12" x14ac:dyDescent="0.55000000000000004">
      <c r="G201" s="8"/>
      <c r="H201" s="8"/>
      <c r="I201" s="8"/>
      <c r="J201" s="8"/>
      <c r="K201" s="8"/>
      <c r="L201" s="8"/>
    </row>
    <row r="202" spans="7:12" x14ac:dyDescent="0.55000000000000004">
      <c r="G202" s="8"/>
      <c r="H202" s="8"/>
      <c r="I202" s="8"/>
      <c r="J202" s="8"/>
      <c r="K202" s="8"/>
      <c r="L202" s="8"/>
    </row>
    <row r="203" spans="7:12" x14ac:dyDescent="0.55000000000000004">
      <c r="G203" s="8"/>
      <c r="H203" s="8"/>
      <c r="I203" s="8"/>
      <c r="J203" s="8"/>
      <c r="K203" s="8"/>
      <c r="L203" s="8"/>
    </row>
    <row r="204" spans="7:12" x14ac:dyDescent="0.55000000000000004">
      <c r="G204" s="8"/>
      <c r="H204" s="8"/>
      <c r="I204" s="8"/>
      <c r="J204" s="8"/>
      <c r="K204" s="8"/>
      <c r="L204" s="8"/>
    </row>
    <row r="205" spans="7:12" x14ac:dyDescent="0.55000000000000004">
      <c r="G205" s="8"/>
      <c r="H205" s="8"/>
      <c r="I205" s="8"/>
      <c r="J205" s="8"/>
      <c r="K205" s="8"/>
      <c r="L205" s="8"/>
    </row>
    <row r="206" spans="7:12" x14ac:dyDescent="0.55000000000000004">
      <c r="G206" s="8"/>
      <c r="H206" s="8"/>
      <c r="I206" s="8"/>
      <c r="J206" s="8"/>
      <c r="K206" s="8"/>
      <c r="L206" s="8"/>
    </row>
    <row r="207" spans="7:12" x14ac:dyDescent="0.55000000000000004">
      <c r="G207" s="8"/>
      <c r="H207" s="8"/>
      <c r="I207" s="8"/>
      <c r="J207" s="8"/>
      <c r="K207" s="8"/>
      <c r="L207" s="8"/>
    </row>
    <row r="208" spans="7:12" x14ac:dyDescent="0.55000000000000004">
      <c r="G208" s="8"/>
      <c r="H208" s="8"/>
      <c r="I208" s="8"/>
      <c r="J208" s="8"/>
      <c r="K208" s="8"/>
      <c r="L208" s="8"/>
    </row>
    <row r="209" spans="7:12" x14ac:dyDescent="0.55000000000000004">
      <c r="G209" s="8"/>
      <c r="H209" s="8"/>
      <c r="I209" s="8"/>
      <c r="J209" s="8"/>
      <c r="K209" s="8"/>
      <c r="L209" s="8"/>
    </row>
    <row r="210" spans="7:12" x14ac:dyDescent="0.55000000000000004">
      <c r="G210" s="8"/>
      <c r="H210" s="8"/>
      <c r="I210" s="8"/>
      <c r="J210" s="8"/>
      <c r="K210" s="8"/>
      <c r="L210" s="8"/>
    </row>
    <row r="211" spans="7:12" x14ac:dyDescent="0.55000000000000004">
      <c r="G211" s="8"/>
      <c r="H211" s="8"/>
      <c r="I211" s="8"/>
      <c r="J211" s="8"/>
      <c r="K211" s="8"/>
      <c r="L211" s="8"/>
    </row>
    <row r="212" spans="7:12" x14ac:dyDescent="0.55000000000000004">
      <c r="G212" s="8"/>
      <c r="H212" s="8"/>
      <c r="I212" s="8"/>
      <c r="J212" s="8"/>
      <c r="K212" s="8"/>
      <c r="L212" s="8"/>
    </row>
    <row r="213" spans="7:12" x14ac:dyDescent="0.55000000000000004">
      <c r="G213" s="8"/>
      <c r="H213" s="8"/>
      <c r="I213" s="8"/>
      <c r="J213" s="8"/>
      <c r="K213" s="8"/>
      <c r="L213" s="8"/>
    </row>
    <row r="214" spans="7:12" x14ac:dyDescent="0.55000000000000004">
      <c r="G214" s="8"/>
      <c r="H214" s="8"/>
      <c r="I214" s="8"/>
      <c r="J214" s="8"/>
      <c r="K214" s="8"/>
      <c r="L214" s="8"/>
    </row>
    <row r="215" spans="7:12" x14ac:dyDescent="0.55000000000000004">
      <c r="G215" s="8"/>
      <c r="H215" s="8"/>
      <c r="I215" s="8"/>
      <c r="J215" s="8"/>
      <c r="K215" s="8"/>
      <c r="L215" s="8"/>
    </row>
    <row r="216" spans="7:12" x14ac:dyDescent="0.55000000000000004">
      <c r="G216" s="8"/>
      <c r="H216" s="8"/>
      <c r="I216" s="8"/>
      <c r="J216" s="8"/>
      <c r="K216" s="8"/>
      <c r="L216" s="8"/>
    </row>
    <row r="217" spans="7:12" x14ac:dyDescent="0.55000000000000004">
      <c r="G217" s="8"/>
      <c r="H217" s="8"/>
      <c r="I217" s="8"/>
      <c r="J217" s="8"/>
      <c r="K217" s="8"/>
      <c r="L217" s="8"/>
    </row>
    <row r="218" spans="7:12" x14ac:dyDescent="0.55000000000000004">
      <c r="G218" s="8"/>
      <c r="H218" s="8"/>
      <c r="I218" s="8"/>
      <c r="J218" s="8"/>
      <c r="K218" s="8"/>
      <c r="L218" s="8"/>
    </row>
    <row r="219" spans="7:12" x14ac:dyDescent="0.55000000000000004">
      <c r="G219" s="8"/>
      <c r="H219" s="8"/>
      <c r="I219" s="8"/>
      <c r="J219" s="8"/>
      <c r="K219" s="8"/>
      <c r="L219" s="8"/>
    </row>
    <row r="220" spans="7:12" x14ac:dyDescent="0.55000000000000004">
      <c r="G220" s="8"/>
      <c r="H220" s="8"/>
      <c r="I220" s="8"/>
      <c r="J220" s="8"/>
      <c r="K220" s="8"/>
      <c r="L220" s="8"/>
    </row>
    <row r="221" spans="7:12" x14ac:dyDescent="0.55000000000000004">
      <c r="G221" s="8"/>
      <c r="H221" s="8"/>
      <c r="I221" s="8"/>
      <c r="J221" s="8"/>
      <c r="K221" s="8"/>
      <c r="L221" s="8"/>
    </row>
    <row r="222" spans="7:12" x14ac:dyDescent="0.55000000000000004">
      <c r="G222" s="8"/>
      <c r="H222" s="8"/>
      <c r="I222" s="8"/>
      <c r="J222" s="8"/>
      <c r="K222" s="8"/>
      <c r="L222" s="8"/>
    </row>
    <row r="223" spans="7:12" x14ac:dyDescent="0.55000000000000004">
      <c r="G223" s="8"/>
      <c r="H223" s="8"/>
      <c r="I223" s="8"/>
      <c r="J223" s="8"/>
      <c r="K223" s="8"/>
      <c r="L223" s="8"/>
    </row>
    <row r="224" spans="7:12" x14ac:dyDescent="0.55000000000000004">
      <c r="G224" s="8"/>
      <c r="H224" s="8"/>
      <c r="I224" s="8"/>
      <c r="J224" s="8"/>
      <c r="K224" s="8"/>
      <c r="L224" s="8"/>
    </row>
    <row r="225" spans="7:12" x14ac:dyDescent="0.55000000000000004">
      <c r="G225" s="8"/>
      <c r="H225" s="8"/>
      <c r="I225" s="8"/>
      <c r="J225" s="8"/>
      <c r="K225" s="8"/>
      <c r="L225" s="8"/>
    </row>
    <row r="226" spans="7:12" x14ac:dyDescent="0.55000000000000004">
      <c r="G226" s="8"/>
      <c r="H226" s="8"/>
      <c r="I226" s="8"/>
      <c r="J226" s="8"/>
      <c r="K226" s="8"/>
      <c r="L226" s="8"/>
    </row>
    <row r="227" spans="7:12" x14ac:dyDescent="0.55000000000000004">
      <c r="G227" s="8"/>
      <c r="H227" s="8"/>
      <c r="I227" s="8"/>
      <c r="J227" s="8"/>
      <c r="K227" s="8"/>
      <c r="L227" s="8"/>
    </row>
    <row r="228" spans="7:12" x14ac:dyDescent="0.55000000000000004">
      <c r="G228" s="8"/>
      <c r="H228" s="8"/>
      <c r="I228" s="8"/>
      <c r="J228" s="8"/>
      <c r="K228" s="8"/>
      <c r="L228" s="8"/>
    </row>
    <row r="229" spans="7:12" x14ac:dyDescent="0.55000000000000004">
      <c r="G229" s="8"/>
      <c r="H229" s="8"/>
      <c r="I229" s="8"/>
      <c r="J229" s="8"/>
      <c r="K229" s="8"/>
      <c r="L229" s="8"/>
    </row>
    <row r="230" spans="7:12" x14ac:dyDescent="0.55000000000000004">
      <c r="G230" s="8"/>
      <c r="H230" s="8"/>
      <c r="I230" s="8"/>
      <c r="J230" s="8"/>
      <c r="K230" s="8"/>
      <c r="L230" s="8"/>
    </row>
    <row r="231" spans="7:12" x14ac:dyDescent="0.55000000000000004">
      <c r="G231" s="8"/>
      <c r="H231" s="8"/>
      <c r="I231" s="8"/>
      <c r="J231" s="8"/>
      <c r="K231" s="8"/>
      <c r="L231" s="8"/>
    </row>
    <row r="232" spans="7:12" x14ac:dyDescent="0.55000000000000004">
      <c r="G232" s="8"/>
      <c r="H232" s="8"/>
      <c r="I232" s="8"/>
      <c r="J232" s="8"/>
      <c r="K232" s="8"/>
      <c r="L232" s="8"/>
    </row>
    <row r="233" spans="7:12" x14ac:dyDescent="0.55000000000000004">
      <c r="G233" s="8"/>
      <c r="H233" s="8"/>
      <c r="I233" s="8"/>
      <c r="J233" s="8"/>
      <c r="K233" s="8"/>
      <c r="L233" s="8"/>
    </row>
    <row r="234" spans="7:12" x14ac:dyDescent="0.55000000000000004">
      <c r="G234" s="8"/>
      <c r="H234" s="8"/>
      <c r="I234" s="8"/>
      <c r="J234" s="8"/>
      <c r="K234" s="8"/>
      <c r="L234" s="8"/>
    </row>
    <row r="235" spans="7:12" x14ac:dyDescent="0.55000000000000004">
      <c r="G235" s="8"/>
      <c r="H235" s="8"/>
      <c r="I235" s="8"/>
      <c r="J235" s="8"/>
      <c r="K235" s="8"/>
      <c r="L235" s="8"/>
    </row>
    <row r="236" spans="7:12" x14ac:dyDescent="0.55000000000000004">
      <c r="G236" s="8"/>
      <c r="H236" s="8"/>
      <c r="I236" s="8"/>
      <c r="J236" s="8"/>
      <c r="K236" s="8"/>
      <c r="L236" s="8"/>
    </row>
    <row r="237" spans="7:12" x14ac:dyDescent="0.55000000000000004">
      <c r="G237" s="8"/>
      <c r="H237" s="8"/>
      <c r="I237" s="8"/>
      <c r="J237" s="8"/>
      <c r="K237" s="8"/>
      <c r="L237" s="8"/>
    </row>
    <row r="238" spans="7:12" x14ac:dyDescent="0.55000000000000004">
      <c r="G238" s="8"/>
      <c r="H238" s="8"/>
      <c r="I238" s="8"/>
      <c r="J238" s="8"/>
      <c r="K238" s="8"/>
      <c r="L238" s="8"/>
    </row>
    <row r="239" spans="7:12" x14ac:dyDescent="0.55000000000000004">
      <c r="G239" s="8"/>
      <c r="H239" s="8"/>
      <c r="I239" s="8"/>
      <c r="J239" s="8"/>
      <c r="K239" s="8"/>
      <c r="L239" s="8"/>
    </row>
    <row r="240" spans="7:12" x14ac:dyDescent="0.55000000000000004">
      <c r="G240" s="8"/>
      <c r="H240" s="8"/>
      <c r="I240" s="8"/>
      <c r="J240" s="8"/>
      <c r="K240" s="8"/>
      <c r="L240" s="8"/>
    </row>
    <row r="241" spans="7:12" x14ac:dyDescent="0.55000000000000004">
      <c r="G241" s="8"/>
      <c r="H241" s="8"/>
      <c r="I241" s="8"/>
      <c r="J241" s="8"/>
      <c r="K241" s="8"/>
      <c r="L241" s="8"/>
    </row>
    <row r="242" spans="7:12" x14ac:dyDescent="0.55000000000000004">
      <c r="G242" s="8"/>
      <c r="H242" s="8"/>
      <c r="I242" s="8"/>
      <c r="J242" s="8"/>
      <c r="K242" s="8"/>
      <c r="L242" s="8"/>
    </row>
    <row r="243" spans="7:12" x14ac:dyDescent="0.55000000000000004">
      <c r="G243" s="8"/>
      <c r="H243" s="8"/>
      <c r="I243" s="8"/>
      <c r="J243" s="8"/>
      <c r="K243" s="8"/>
      <c r="L243" s="8"/>
    </row>
    <row r="244" spans="7:12" x14ac:dyDescent="0.55000000000000004">
      <c r="G244" s="8"/>
      <c r="H244" s="8"/>
      <c r="I244" s="8"/>
      <c r="J244" s="8"/>
      <c r="K244" s="8"/>
      <c r="L244" s="8"/>
    </row>
    <row r="245" spans="7:12" x14ac:dyDescent="0.55000000000000004">
      <c r="G245" s="8"/>
      <c r="H245" s="8"/>
      <c r="I245" s="8"/>
      <c r="J245" s="8"/>
      <c r="K245" s="8"/>
      <c r="L245" s="8"/>
    </row>
    <row r="246" spans="7:12" x14ac:dyDescent="0.55000000000000004">
      <c r="G246" s="8"/>
      <c r="H246" s="8"/>
      <c r="I246" s="8"/>
      <c r="J246" s="8"/>
      <c r="K246" s="8"/>
      <c r="L246" s="8"/>
    </row>
    <row r="247" spans="7:12" x14ac:dyDescent="0.55000000000000004">
      <c r="G247" s="8"/>
      <c r="H247" s="8"/>
      <c r="I247" s="8"/>
      <c r="J247" s="8"/>
      <c r="K247" s="8"/>
      <c r="L247" s="8"/>
    </row>
    <row r="248" spans="7:12" x14ac:dyDescent="0.55000000000000004">
      <c r="G248" s="8"/>
      <c r="H248" s="8"/>
      <c r="I248" s="8"/>
      <c r="J248" s="8"/>
      <c r="K248" s="8"/>
      <c r="L248" s="8"/>
    </row>
    <row r="249" spans="7:12" x14ac:dyDescent="0.55000000000000004">
      <c r="G249" s="8"/>
      <c r="H249" s="8"/>
      <c r="I249" s="8"/>
      <c r="J249" s="8"/>
      <c r="K249" s="8"/>
      <c r="L249" s="8"/>
    </row>
    <row r="250" spans="7:12" x14ac:dyDescent="0.55000000000000004">
      <c r="G250" s="8"/>
      <c r="H250" s="8"/>
      <c r="I250" s="8"/>
      <c r="J250" s="8"/>
      <c r="K250" s="8"/>
      <c r="L250" s="8"/>
    </row>
    <row r="251" spans="7:12" x14ac:dyDescent="0.55000000000000004">
      <c r="G251" s="8"/>
      <c r="H251" s="8"/>
      <c r="I251" s="8"/>
      <c r="J251" s="8"/>
      <c r="K251" s="8"/>
      <c r="L251" s="8"/>
    </row>
    <row r="252" spans="7:12" x14ac:dyDescent="0.55000000000000004">
      <c r="G252" s="8"/>
      <c r="H252" s="8"/>
      <c r="I252" s="8"/>
      <c r="J252" s="8"/>
      <c r="K252" s="8"/>
      <c r="L252" s="8"/>
    </row>
    <row r="253" spans="7:12" x14ac:dyDescent="0.55000000000000004">
      <c r="G253" s="8"/>
      <c r="H253" s="8"/>
      <c r="I253" s="8"/>
      <c r="J253" s="8"/>
      <c r="K253" s="8"/>
      <c r="L253" s="8"/>
    </row>
    <row r="254" spans="7:12" x14ac:dyDescent="0.55000000000000004">
      <c r="G254" s="8"/>
      <c r="H254" s="8"/>
      <c r="I254" s="8"/>
      <c r="J254" s="8"/>
      <c r="K254" s="8"/>
      <c r="L254" s="8"/>
    </row>
    <row r="255" spans="7:12" x14ac:dyDescent="0.55000000000000004">
      <c r="G255" s="8"/>
      <c r="H255" s="8"/>
      <c r="I255" s="8"/>
      <c r="J255" s="8"/>
      <c r="K255" s="8"/>
      <c r="L255" s="8"/>
    </row>
    <row r="256" spans="7:12" x14ac:dyDescent="0.55000000000000004">
      <c r="G256" s="8"/>
      <c r="H256" s="8"/>
      <c r="I256" s="8"/>
      <c r="J256" s="8"/>
      <c r="K256" s="8"/>
      <c r="L256" s="8"/>
    </row>
    <row r="257" spans="7:12" x14ac:dyDescent="0.55000000000000004">
      <c r="G257" s="8"/>
      <c r="H257" s="8"/>
      <c r="I257" s="8"/>
      <c r="J257" s="8"/>
      <c r="K257" s="8"/>
      <c r="L257" s="8"/>
    </row>
    <row r="258" spans="7:12" x14ac:dyDescent="0.55000000000000004">
      <c r="G258" s="8"/>
      <c r="H258" s="8"/>
      <c r="I258" s="8"/>
      <c r="J258" s="8"/>
      <c r="K258" s="8"/>
      <c r="L258" s="8"/>
    </row>
    <row r="259" spans="7:12" x14ac:dyDescent="0.55000000000000004">
      <c r="G259" s="8"/>
      <c r="H259" s="8"/>
      <c r="I259" s="8"/>
      <c r="J259" s="8"/>
      <c r="K259" s="8"/>
      <c r="L259" s="8"/>
    </row>
    <row r="260" spans="7:12" x14ac:dyDescent="0.55000000000000004">
      <c r="G260" s="8"/>
      <c r="H260" s="8"/>
      <c r="I260" s="8"/>
      <c r="J260" s="8"/>
      <c r="K260" s="8"/>
      <c r="L260" s="8"/>
    </row>
    <row r="261" spans="7:12" x14ac:dyDescent="0.55000000000000004">
      <c r="G261" s="8"/>
      <c r="H261" s="8"/>
      <c r="I261" s="8"/>
      <c r="J261" s="8"/>
      <c r="K261" s="8"/>
      <c r="L261" s="8"/>
    </row>
    <row r="262" spans="7:12" x14ac:dyDescent="0.55000000000000004">
      <c r="G262" s="8"/>
      <c r="H262" s="8"/>
      <c r="I262" s="8"/>
      <c r="J262" s="8"/>
      <c r="K262" s="8"/>
      <c r="L262" s="8"/>
    </row>
    <row r="263" spans="7:12" x14ac:dyDescent="0.55000000000000004">
      <c r="G263" s="8"/>
      <c r="H263" s="8"/>
      <c r="I263" s="8"/>
      <c r="J263" s="8"/>
      <c r="K263" s="8"/>
      <c r="L263" s="8"/>
    </row>
    <row r="264" spans="7:12" x14ac:dyDescent="0.55000000000000004">
      <c r="G264" s="8"/>
      <c r="H264" s="8"/>
      <c r="I264" s="8"/>
      <c r="J264" s="8"/>
      <c r="K264" s="8"/>
      <c r="L264" s="8"/>
    </row>
    <row r="265" spans="7:12" x14ac:dyDescent="0.55000000000000004">
      <c r="G265" s="8"/>
      <c r="H265" s="8"/>
      <c r="I265" s="8"/>
      <c r="J265" s="8"/>
      <c r="K265" s="8"/>
      <c r="L265" s="8"/>
    </row>
    <row r="266" spans="7:12" x14ac:dyDescent="0.55000000000000004">
      <c r="G266" s="8"/>
      <c r="H266" s="8"/>
      <c r="I266" s="8"/>
      <c r="J266" s="8"/>
      <c r="K266" s="8"/>
      <c r="L266" s="8"/>
    </row>
    <row r="267" spans="7:12" x14ac:dyDescent="0.55000000000000004">
      <c r="G267" s="8"/>
      <c r="H267" s="8"/>
      <c r="I267" s="8"/>
      <c r="J267" s="8"/>
      <c r="K267" s="8"/>
      <c r="L267" s="8"/>
    </row>
    <row r="268" spans="7:12" x14ac:dyDescent="0.55000000000000004">
      <c r="G268" s="8"/>
      <c r="H268" s="8"/>
      <c r="I268" s="8"/>
      <c r="J268" s="8"/>
      <c r="K268" s="8"/>
      <c r="L268" s="8"/>
    </row>
    <row r="269" spans="7:12" x14ac:dyDescent="0.55000000000000004">
      <c r="G269" s="8"/>
      <c r="H269" s="8"/>
      <c r="I269" s="8"/>
      <c r="J269" s="8"/>
      <c r="K269" s="8"/>
      <c r="L269" s="8"/>
    </row>
    <row r="270" spans="7:12" x14ac:dyDescent="0.55000000000000004">
      <c r="G270" s="8"/>
      <c r="H270" s="8"/>
      <c r="I270" s="8"/>
      <c r="J270" s="8"/>
      <c r="K270" s="8"/>
      <c r="L270" s="8"/>
    </row>
    <row r="271" spans="7:12" x14ac:dyDescent="0.55000000000000004">
      <c r="G271" s="8"/>
      <c r="H271" s="8"/>
      <c r="I271" s="8"/>
      <c r="J271" s="8"/>
      <c r="K271" s="8"/>
      <c r="L271" s="8"/>
    </row>
    <row r="272" spans="7:12" x14ac:dyDescent="0.55000000000000004">
      <c r="G272" s="8"/>
      <c r="H272" s="8"/>
      <c r="I272" s="8"/>
      <c r="J272" s="8"/>
      <c r="K272" s="8"/>
      <c r="L272" s="8"/>
    </row>
    <row r="273" spans="7:12" x14ac:dyDescent="0.55000000000000004">
      <c r="G273" s="8"/>
      <c r="H273" s="8"/>
      <c r="I273" s="8"/>
      <c r="J273" s="8"/>
      <c r="K273" s="8"/>
      <c r="L273" s="8"/>
    </row>
    <row r="274" spans="7:12" x14ac:dyDescent="0.55000000000000004">
      <c r="G274" s="8"/>
      <c r="H274" s="8"/>
      <c r="I274" s="8"/>
      <c r="J274" s="8"/>
      <c r="K274" s="8"/>
      <c r="L274" s="8"/>
    </row>
    <row r="275" spans="7:12" x14ac:dyDescent="0.55000000000000004">
      <c r="G275" s="8"/>
      <c r="H275" s="8"/>
      <c r="I275" s="8"/>
      <c r="J275" s="8"/>
      <c r="K275" s="8"/>
      <c r="L275" s="8"/>
    </row>
    <row r="276" spans="7:12" x14ac:dyDescent="0.55000000000000004">
      <c r="G276" s="8"/>
      <c r="H276" s="8"/>
      <c r="I276" s="8"/>
      <c r="J276" s="8"/>
      <c r="K276" s="8"/>
      <c r="L276" s="8"/>
    </row>
    <row r="277" spans="7:12" x14ac:dyDescent="0.55000000000000004">
      <c r="G277" s="8"/>
      <c r="H277" s="8"/>
      <c r="I277" s="8"/>
      <c r="J277" s="8"/>
      <c r="K277" s="8"/>
      <c r="L277" s="8"/>
    </row>
    <row r="278" spans="7:12" x14ac:dyDescent="0.55000000000000004">
      <c r="G278" s="8"/>
      <c r="H278" s="8"/>
      <c r="I278" s="8"/>
      <c r="J278" s="8"/>
      <c r="K278" s="8"/>
      <c r="L278" s="8"/>
    </row>
    <row r="279" spans="7:12" x14ac:dyDescent="0.55000000000000004">
      <c r="G279" s="8"/>
      <c r="H279" s="8"/>
      <c r="I279" s="8"/>
      <c r="J279" s="8"/>
      <c r="K279" s="8"/>
      <c r="L279" s="8"/>
    </row>
    <row r="280" spans="7:12" x14ac:dyDescent="0.55000000000000004">
      <c r="G280" s="8"/>
      <c r="H280" s="8"/>
      <c r="I280" s="8"/>
      <c r="J280" s="8"/>
      <c r="K280" s="8"/>
      <c r="L280" s="8"/>
    </row>
    <row r="281" spans="7:12" x14ac:dyDescent="0.55000000000000004">
      <c r="G281" s="8"/>
      <c r="H281" s="8"/>
      <c r="I281" s="8"/>
      <c r="J281" s="8"/>
      <c r="K281" s="8"/>
      <c r="L281" s="8"/>
    </row>
    <row r="282" spans="7:12" x14ac:dyDescent="0.55000000000000004">
      <c r="G282" s="8"/>
      <c r="H282" s="8"/>
      <c r="I282" s="8"/>
      <c r="J282" s="8"/>
      <c r="K282" s="8"/>
      <c r="L282" s="8"/>
    </row>
    <row r="283" spans="7:12" x14ac:dyDescent="0.55000000000000004">
      <c r="G283" s="8"/>
      <c r="H283" s="8"/>
      <c r="I283" s="8"/>
      <c r="J283" s="8"/>
      <c r="K283" s="8"/>
      <c r="L283" s="8"/>
    </row>
    <row r="284" spans="7:12" x14ac:dyDescent="0.55000000000000004">
      <c r="G284" s="8"/>
      <c r="H284" s="8"/>
      <c r="I284" s="8"/>
      <c r="J284" s="8"/>
      <c r="K284" s="8"/>
      <c r="L284" s="8"/>
    </row>
    <row r="285" spans="7:12" x14ac:dyDescent="0.55000000000000004">
      <c r="G285" s="8"/>
      <c r="H285" s="8"/>
      <c r="I285" s="8"/>
      <c r="J285" s="8"/>
      <c r="K285" s="8"/>
      <c r="L285" s="8"/>
    </row>
    <row r="286" spans="7:12" x14ac:dyDescent="0.55000000000000004">
      <c r="G286" s="8"/>
      <c r="H286" s="8"/>
      <c r="I286" s="8"/>
      <c r="J286" s="8"/>
      <c r="K286" s="8"/>
      <c r="L286" s="8"/>
    </row>
    <row r="287" spans="7:12" x14ac:dyDescent="0.55000000000000004">
      <c r="G287" s="8"/>
      <c r="H287" s="8"/>
      <c r="I287" s="8"/>
      <c r="J287" s="8"/>
      <c r="K287" s="8"/>
      <c r="L287" s="8"/>
    </row>
    <row r="288" spans="7:12" x14ac:dyDescent="0.55000000000000004">
      <c r="G288" s="8"/>
      <c r="H288" s="8"/>
      <c r="I288" s="8"/>
      <c r="J288" s="8"/>
      <c r="K288" s="8"/>
      <c r="L288" s="8"/>
    </row>
    <row r="289" spans="7:12" x14ac:dyDescent="0.55000000000000004">
      <c r="G289" s="8"/>
      <c r="H289" s="8"/>
      <c r="I289" s="8"/>
      <c r="J289" s="8"/>
      <c r="K289" s="8"/>
      <c r="L289" s="8"/>
    </row>
    <row r="290" spans="7:12" x14ac:dyDescent="0.55000000000000004">
      <c r="G290" s="8"/>
      <c r="H290" s="8"/>
      <c r="I290" s="8"/>
      <c r="J290" s="8"/>
      <c r="K290" s="8"/>
      <c r="L290" s="8"/>
    </row>
    <row r="291" spans="7:12" x14ac:dyDescent="0.55000000000000004">
      <c r="G291" s="8"/>
      <c r="H291" s="8"/>
      <c r="I291" s="8"/>
      <c r="J291" s="8"/>
      <c r="K291" s="8"/>
      <c r="L291" s="8"/>
    </row>
    <row r="292" spans="7:12" x14ac:dyDescent="0.55000000000000004">
      <c r="G292" s="8"/>
      <c r="H292" s="8"/>
      <c r="I292" s="8"/>
      <c r="J292" s="8"/>
      <c r="K292" s="8"/>
      <c r="L292" s="8"/>
    </row>
    <row r="293" spans="7:12" x14ac:dyDescent="0.55000000000000004">
      <c r="G293" s="8"/>
      <c r="H293" s="8"/>
      <c r="I293" s="8"/>
      <c r="J293" s="8"/>
      <c r="K293" s="8"/>
      <c r="L293" s="8"/>
    </row>
    <row r="294" spans="7:12" x14ac:dyDescent="0.55000000000000004">
      <c r="G294" s="8"/>
      <c r="H294" s="8"/>
      <c r="I294" s="8"/>
      <c r="J294" s="8"/>
      <c r="K294" s="8"/>
      <c r="L294" s="8"/>
    </row>
    <row r="295" spans="7:12" x14ac:dyDescent="0.55000000000000004">
      <c r="G295" s="8"/>
      <c r="H295" s="8"/>
      <c r="I295" s="8"/>
      <c r="J295" s="8"/>
      <c r="K295" s="8"/>
      <c r="L295" s="8"/>
    </row>
    <row r="296" spans="7:12" x14ac:dyDescent="0.55000000000000004">
      <c r="G296" s="8"/>
      <c r="H296" s="8"/>
      <c r="I296" s="8"/>
      <c r="J296" s="8"/>
      <c r="K296" s="8"/>
      <c r="L296" s="8"/>
    </row>
    <row r="297" spans="7:12" x14ac:dyDescent="0.55000000000000004">
      <c r="G297" s="8"/>
      <c r="H297" s="8"/>
      <c r="I297" s="8"/>
      <c r="J297" s="8"/>
      <c r="K297" s="8"/>
      <c r="L297" s="8"/>
    </row>
    <row r="298" spans="7:12" x14ac:dyDescent="0.55000000000000004">
      <c r="G298" s="8"/>
      <c r="H298" s="8"/>
      <c r="I298" s="8"/>
      <c r="J298" s="8"/>
      <c r="K298" s="8"/>
      <c r="L298" s="8"/>
    </row>
    <row r="299" spans="7:12" x14ac:dyDescent="0.55000000000000004">
      <c r="G299" s="8"/>
      <c r="H299" s="8"/>
      <c r="I299" s="8"/>
      <c r="J299" s="8"/>
      <c r="K299" s="8"/>
      <c r="L299" s="8"/>
    </row>
    <row r="300" spans="7:12" x14ac:dyDescent="0.55000000000000004">
      <c r="G300" s="8"/>
      <c r="H300" s="8"/>
      <c r="I300" s="8"/>
      <c r="J300" s="8"/>
      <c r="K300" s="8"/>
      <c r="L300" s="8"/>
    </row>
    <row r="301" spans="7:12" x14ac:dyDescent="0.55000000000000004">
      <c r="G301" s="8"/>
      <c r="H301" s="8"/>
      <c r="I301" s="8"/>
      <c r="J301" s="8"/>
      <c r="K301" s="8"/>
      <c r="L301" s="8"/>
    </row>
    <row r="302" spans="7:12" x14ac:dyDescent="0.55000000000000004">
      <c r="G302" s="8"/>
      <c r="H302" s="8"/>
      <c r="I302" s="8"/>
      <c r="J302" s="8"/>
      <c r="K302" s="8"/>
      <c r="L302" s="8"/>
    </row>
    <row r="303" spans="7:12" x14ac:dyDescent="0.55000000000000004">
      <c r="G303" s="8"/>
      <c r="H303" s="8"/>
      <c r="I303" s="8"/>
      <c r="J303" s="8"/>
      <c r="K303" s="8"/>
      <c r="L303" s="8"/>
    </row>
    <row r="304" spans="7:12" x14ac:dyDescent="0.55000000000000004">
      <c r="G304" s="8"/>
      <c r="H304" s="8"/>
      <c r="I304" s="8"/>
      <c r="J304" s="8"/>
      <c r="K304" s="8"/>
      <c r="L304" s="8"/>
    </row>
    <row r="305" spans="7:12" x14ac:dyDescent="0.55000000000000004">
      <c r="G305" s="8"/>
      <c r="H305" s="8"/>
      <c r="I305" s="8"/>
      <c r="J305" s="8"/>
      <c r="K305" s="8"/>
      <c r="L305" s="8"/>
    </row>
    <row r="306" spans="7:12" x14ac:dyDescent="0.55000000000000004">
      <c r="G306" s="8"/>
      <c r="H306" s="8"/>
      <c r="I306" s="8"/>
      <c r="J306" s="8"/>
      <c r="K306" s="8"/>
      <c r="L306" s="8"/>
    </row>
    <row r="307" spans="7:12" x14ac:dyDescent="0.55000000000000004">
      <c r="G307" s="8"/>
      <c r="H307" s="8"/>
      <c r="I307" s="8"/>
      <c r="J307" s="8"/>
      <c r="K307" s="8"/>
      <c r="L307" s="8"/>
    </row>
    <row r="308" spans="7:12" x14ac:dyDescent="0.55000000000000004">
      <c r="G308" s="8"/>
      <c r="H308" s="8"/>
      <c r="I308" s="8"/>
      <c r="J308" s="8"/>
      <c r="K308" s="8"/>
      <c r="L308" s="8"/>
    </row>
    <row r="309" spans="7:12" x14ac:dyDescent="0.55000000000000004">
      <c r="G309" s="8"/>
      <c r="H309" s="8"/>
      <c r="I309" s="8"/>
      <c r="J309" s="8"/>
      <c r="K309" s="8"/>
      <c r="L309" s="8"/>
    </row>
    <row r="310" spans="7:12" x14ac:dyDescent="0.55000000000000004">
      <c r="G310" s="8"/>
      <c r="H310" s="8"/>
      <c r="I310" s="8"/>
      <c r="J310" s="8"/>
      <c r="K310" s="8"/>
      <c r="L310" s="8"/>
    </row>
    <row r="311" spans="7:12" x14ac:dyDescent="0.55000000000000004">
      <c r="G311" s="8"/>
      <c r="H311" s="8"/>
      <c r="I311" s="8"/>
      <c r="J311" s="8"/>
      <c r="K311" s="8"/>
      <c r="L311" s="8"/>
    </row>
    <row r="312" spans="7:12" x14ac:dyDescent="0.55000000000000004">
      <c r="G312" s="8"/>
      <c r="H312" s="8"/>
      <c r="I312" s="8"/>
      <c r="J312" s="8"/>
      <c r="K312" s="8"/>
      <c r="L312" s="8"/>
    </row>
    <row r="313" spans="7:12" x14ac:dyDescent="0.55000000000000004">
      <c r="G313" s="8"/>
      <c r="H313" s="8"/>
      <c r="I313" s="8"/>
      <c r="J313" s="8"/>
      <c r="K313" s="8"/>
      <c r="L313" s="8"/>
    </row>
    <row r="314" spans="7:12" x14ac:dyDescent="0.55000000000000004">
      <c r="G314" s="8"/>
      <c r="H314" s="8"/>
      <c r="I314" s="8"/>
      <c r="J314" s="8"/>
      <c r="K314" s="8"/>
      <c r="L314" s="8"/>
    </row>
    <row r="315" spans="7:12" x14ac:dyDescent="0.55000000000000004">
      <c r="G315" s="8"/>
      <c r="H315" s="8"/>
      <c r="I315" s="8"/>
      <c r="J315" s="8"/>
      <c r="K315" s="8"/>
      <c r="L315" s="8"/>
    </row>
    <row r="316" spans="7:12" x14ac:dyDescent="0.55000000000000004">
      <c r="G316" s="8"/>
      <c r="H316" s="8"/>
      <c r="I316" s="8"/>
      <c r="J316" s="8"/>
      <c r="K316" s="8"/>
      <c r="L316" s="8"/>
    </row>
    <row r="317" spans="7:12" x14ac:dyDescent="0.55000000000000004">
      <c r="G317" s="8"/>
      <c r="H317" s="8"/>
      <c r="I317" s="8"/>
      <c r="J317" s="8"/>
      <c r="K317" s="8"/>
      <c r="L317" s="8"/>
    </row>
    <row r="318" spans="7:12" x14ac:dyDescent="0.55000000000000004">
      <c r="G318" s="8"/>
      <c r="H318" s="8"/>
      <c r="I318" s="8"/>
      <c r="J318" s="8"/>
      <c r="K318" s="8"/>
      <c r="L318" s="8"/>
    </row>
    <row r="319" spans="7:12" x14ac:dyDescent="0.55000000000000004">
      <c r="G319" s="8"/>
      <c r="H319" s="8"/>
      <c r="I319" s="8"/>
      <c r="J319" s="8"/>
      <c r="K319" s="8"/>
      <c r="L319" s="8"/>
    </row>
    <row r="320" spans="7:12" x14ac:dyDescent="0.55000000000000004">
      <c r="G320" s="8"/>
      <c r="H320" s="8"/>
      <c r="I320" s="8"/>
      <c r="J320" s="8"/>
      <c r="K320" s="8"/>
      <c r="L320" s="8"/>
    </row>
    <row r="321" spans="7:12" x14ac:dyDescent="0.55000000000000004">
      <c r="G321" s="8"/>
      <c r="H321" s="8"/>
      <c r="I321" s="8"/>
      <c r="J321" s="8"/>
      <c r="K321" s="8"/>
      <c r="L321" s="8"/>
    </row>
    <row r="322" spans="7:12" x14ac:dyDescent="0.55000000000000004">
      <c r="G322" s="8"/>
      <c r="H322" s="8"/>
      <c r="I322" s="8"/>
      <c r="J322" s="8"/>
      <c r="K322" s="8"/>
      <c r="L322" s="8"/>
    </row>
    <row r="323" spans="7:12" x14ac:dyDescent="0.55000000000000004">
      <c r="G323" s="8"/>
      <c r="H323" s="8"/>
      <c r="I323" s="8"/>
      <c r="J323" s="8"/>
      <c r="K323" s="8"/>
      <c r="L323" s="8"/>
    </row>
    <row r="324" spans="7:12" x14ac:dyDescent="0.55000000000000004">
      <c r="G324" s="8"/>
      <c r="H324" s="8"/>
      <c r="I324" s="8"/>
      <c r="J324" s="8"/>
      <c r="K324" s="8"/>
      <c r="L324" s="8"/>
    </row>
    <row r="325" spans="7:12" x14ac:dyDescent="0.55000000000000004">
      <c r="G325" s="8"/>
      <c r="H325" s="8"/>
      <c r="I325" s="8"/>
      <c r="J325" s="8"/>
      <c r="K325" s="8"/>
      <c r="L325" s="8"/>
    </row>
    <row r="326" spans="7:12" x14ac:dyDescent="0.55000000000000004">
      <c r="G326" s="8"/>
      <c r="H326" s="8"/>
      <c r="I326" s="8"/>
      <c r="J326" s="8"/>
      <c r="K326" s="8"/>
      <c r="L326" s="8"/>
    </row>
    <row r="327" spans="7:12" x14ac:dyDescent="0.55000000000000004">
      <c r="G327" s="8"/>
      <c r="H327" s="8"/>
      <c r="I327" s="8"/>
      <c r="J327" s="8"/>
      <c r="K327" s="8"/>
      <c r="L327" s="8"/>
    </row>
    <row r="328" spans="7:12" x14ac:dyDescent="0.55000000000000004">
      <c r="G328" s="8"/>
      <c r="H328" s="8"/>
      <c r="I328" s="8"/>
      <c r="J328" s="8"/>
      <c r="K328" s="8"/>
      <c r="L328" s="8"/>
    </row>
    <row r="329" spans="7:12" x14ac:dyDescent="0.55000000000000004">
      <c r="G329" s="8"/>
      <c r="H329" s="8"/>
      <c r="I329" s="8"/>
      <c r="J329" s="8"/>
      <c r="K329" s="8"/>
      <c r="L329" s="8"/>
    </row>
    <row r="330" spans="7:12" x14ac:dyDescent="0.55000000000000004">
      <c r="G330" s="8"/>
      <c r="H330" s="8"/>
      <c r="I330" s="8"/>
      <c r="J330" s="8"/>
      <c r="K330" s="8"/>
      <c r="L330" s="8"/>
    </row>
    <row r="331" spans="7:12" x14ac:dyDescent="0.55000000000000004">
      <c r="G331" s="8"/>
      <c r="H331" s="8"/>
      <c r="I331" s="8"/>
      <c r="J331" s="8"/>
      <c r="K331" s="8"/>
      <c r="L331" s="8"/>
    </row>
    <row r="332" spans="7:12" x14ac:dyDescent="0.55000000000000004">
      <c r="G332" s="8"/>
      <c r="H332" s="8"/>
      <c r="I332" s="8"/>
      <c r="J332" s="8"/>
      <c r="K332" s="8"/>
      <c r="L332" s="8"/>
    </row>
    <row r="333" spans="7:12" x14ac:dyDescent="0.55000000000000004">
      <c r="G333" s="8"/>
      <c r="H333" s="8"/>
      <c r="I333" s="8"/>
      <c r="J333" s="8"/>
      <c r="K333" s="8"/>
      <c r="L333" s="8"/>
    </row>
    <row r="334" spans="7:12" x14ac:dyDescent="0.55000000000000004">
      <c r="G334" s="8"/>
      <c r="H334" s="8"/>
      <c r="I334" s="8"/>
      <c r="J334" s="8"/>
      <c r="K334" s="8"/>
      <c r="L334" s="8"/>
    </row>
    <row r="335" spans="7:12" x14ac:dyDescent="0.55000000000000004">
      <c r="G335" s="8"/>
      <c r="H335" s="8"/>
      <c r="I335" s="8"/>
      <c r="J335" s="8"/>
      <c r="K335" s="8"/>
      <c r="L335" s="8"/>
    </row>
    <row r="336" spans="7:12" x14ac:dyDescent="0.55000000000000004">
      <c r="G336" s="8"/>
      <c r="H336" s="8"/>
      <c r="I336" s="8"/>
      <c r="J336" s="8"/>
      <c r="K336" s="8"/>
      <c r="L336" s="8"/>
    </row>
    <row r="337" spans="7:12" x14ac:dyDescent="0.55000000000000004">
      <c r="G337" s="8"/>
      <c r="H337" s="8"/>
      <c r="I337" s="8"/>
      <c r="J337" s="8"/>
      <c r="K337" s="8"/>
      <c r="L337" s="8"/>
    </row>
    <row r="338" spans="7:12" x14ac:dyDescent="0.55000000000000004">
      <c r="G338" s="8"/>
      <c r="H338" s="8"/>
      <c r="I338" s="8"/>
      <c r="J338" s="8"/>
      <c r="K338" s="8"/>
      <c r="L338" s="8"/>
    </row>
    <row r="339" spans="7:12" x14ac:dyDescent="0.55000000000000004">
      <c r="G339" s="8"/>
      <c r="H339" s="8"/>
      <c r="I339" s="8"/>
      <c r="J339" s="8"/>
      <c r="K339" s="8"/>
      <c r="L339" s="8"/>
    </row>
    <row r="340" spans="7:12" x14ac:dyDescent="0.55000000000000004">
      <c r="G340" s="8"/>
      <c r="H340" s="8"/>
      <c r="I340" s="8"/>
      <c r="J340" s="8"/>
      <c r="K340" s="8"/>
      <c r="L340" s="8"/>
    </row>
    <row r="341" spans="7:12" x14ac:dyDescent="0.55000000000000004">
      <c r="G341" s="8"/>
      <c r="H341" s="8"/>
      <c r="I341" s="8"/>
      <c r="J341" s="8"/>
      <c r="K341" s="8"/>
      <c r="L341" s="8"/>
    </row>
    <row r="342" spans="7:12" x14ac:dyDescent="0.55000000000000004">
      <c r="G342" s="8"/>
      <c r="H342" s="8"/>
      <c r="I342" s="8"/>
      <c r="J342" s="8"/>
      <c r="K342" s="8"/>
      <c r="L342" s="8"/>
    </row>
    <row r="343" spans="7:12" x14ac:dyDescent="0.55000000000000004">
      <c r="G343" s="8"/>
      <c r="H343" s="8"/>
      <c r="I343" s="8"/>
      <c r="J343" s="8"/>
      <c r="K343" s="8"/>
      <c r="L343" s="8"/>
    </row>
    <row r="344" spans="7:12" x14ac:dyDescent="0.55000000000000004">
      <c r="G344" s="8"/>
      <c r="H344" s="8"/>
      <c r="I344" s="8"/>
      <c r="J344" s="8"/>
      <c r="K344" s="8"/>
      <c r="L344" s="8"/>
    </row>
    <row r="345" spans="7:12" x14ac:dyDescent="0.55000000000000004">
      <c r="G345" s="8"/>
      <c r="H345" s="8"/>
      <c r="I345" s="8"/>
      <c r="J345" s="8"/>
      <c r="K345" s="8"/>
      <c r="L345" s="8"/>
    </row>
    <row r="346" spans="7:12" x14ac:dyDescent="0.55000000000000004">
      <c r="G346" s="8"/>
      <c r="H346" s="8"/>
      <c r="I346" s="8"/>
      <c r="J346" s="8"/>
      <c r="K346" s="8"/>
      <c r="L346" s="8"/>
    </row>
    <row r="347" spans="7:12" x14ac:dyDescent="0.55000000000000004">
      <c r="G347" s="8"/>
      <c r="H347" s="8"/>
      <c r="I347" s="8"/>
      <c r="J347" s="8"/>
      <c r="K347" s="8"/>
      <c r="L347" s="8"/>
    </row>
    <row r="348" spans="7:12" x14ac:dyDescent="0.55000000000000004">
      <c r="G348" s="8"/>
      <c r="H348" s="8"/>
      <c r="I348" s="8"/>
      <c r="J348" s="8"/>
      <c r="K348" s="8"/>
      <c r="L348" s="8"/>
    </row>
    <row r="349" spans="7:12" x14ac:dyDescent="0.55000000000000004">
      <c r="G349" s="8"/>
      <c r="H349" s="8"/>
      <c r="I349" s="8"/>
      <c r="J349" s="8"/>
      <c r="K349" s="8"/>
      <c r="L349" s="8"/>
    </row>
    <row r="350" spans="7:12" x14ac:dyDescent="0.55000000000000004">
      <c r="G350" s="8"/>
      <c r="H350" s="8"/>
      <c r="I350" s="8"/>
      <c r="J350" s="8"/>
      <c r="K350" s="8"/>
      <c r="L350" s="8"/>
    </row>
    <row r="351" spans="7:12" x14ac:dyDescent="0.55000000000000004">
      <c r="G351" s="8"/>
      <c r="H351" s="8"/>
      <c r="I351" s="8"/>
      <c r="J351" s="8"/>
      <c r="K351" s="8"/>
      <c r="L351" s="8"/>
    </row>
    <row r="352" spans="7:12" x14ac:dyDescent="0.55000000000000004">
      <c r="G352" s="8"/>
      <c r="H352" s="8"/>
      <c r="I352" s="8"/>
      <c r="J352" s="8"/>
      <c r="K352" s="8"/>
      <c r="L352" s="8"/>
    </row>
    <row r="353" spans="7:12" x14ac:dyDescent="0.55000000000000004">
      <c r="G353" s="8"/>
      <c r="H353" s="8"/>
      <c r="I353" s="8"/>
      <c r="J353" s="8"/>
      <c r="K353" s="8"/>
      <c r="L353" s="8"/>
    </row>
    <row r="354" spans="7:12" x14ac:dyDescent="0.55000000000000004">
      <c r="G354" s="8"/>
      <c r="H354" s="8"/>
      <c r="I354" s="8"/>
      <c r="J354" s="8"/>
      <c r="K354" s="8"/>
      <c r="L354" s="8"/>
    </row>
    <row r="355" spans="7:12" x14ac:dyDescent="0.55000000000000004">
      <c r="G355" s="8"/>
      <c r="H355" s="8"/>
      <c r="I355" s="8"/>
      <c r="J355" s="8"/>
      <c r="K355" s="8"/>
      <c r="L355" s="8"/>
    </row>
    <row r="356" spans="7:12" x14ac:dyDescent="0.55000000000000004">
      <c r="G356" s="8"/>
      <c r="H356" s="8"/>
      <c r="I356" s="8"/>
      <c r="J356" s="8"/>
      <c r="K356" s="8"/>
      <c r="L356" s="8"/>
    </row>
    <row r="357" spans="7:12" x14ac:dyDescent="0.55000000000000004">
      <c r="G357" s="8"/>
      <c r="H357" s="8"/>
      <c r="I357" s="8"/>
      <c r="J357" s="8"/>
      <c r="K357" s="8"/>
      <c r="L357" s="8"/>
    </row>
    <row r="358" spans="7:12" x14ac:dyDescent="0.55000000000000004">
      <c r="G358" s="8"/>
      <c r="H358" s="8"/>
      <c r="I358" s="8"/>
      <c r="J358" s="8"/>
      <c r="K358" s="8"/>
      <c r="L358" s="8"/>
    </row>
    <row r="359" spans="7:12" x14ac:dyDescent="0.55000000000000004">
      <c r="G359" s="8"/>
      <c r="H359" s="8"/>
      <c r="I359" s="8"/>
      <c r="J359" s="8"/>
      <c r="K359" s="8"/>
      <c r="L359" s="8"/>
    </row>
    <row r="360" spans="7:12" x14ac:dyDescent="0.55000000000000004">
      <c r="G360" s="8"/>
      <c r="H360" s="8"/>
      <c r="I360" s="8"/>
      <c r="J360" s="8"/>
      <c r="K360" s="8"/>
      <c r="L360" s="8"/>
    </row>
    <row r="361" spans="7:12" x14ac:dyDescent="0.55000000000000004">
      <c r="G361" s="8"/>
      <c r="H361" s="8"/>
      <c r="I361" s="8"/>
      <c r="J361" s="8"/>
      <c r="K361" s="8"/>
      <c r="L361" s="8"/>
    </row>
    <row r="362" spans="7:12" x14ac:dyDescent="0.55000000000000004">
      <c r="G362" s="8"/>
      <c r="H362" s="8"/>
      <c r="I362" s="8"/>
      <c r="J362" s="8"/>
      <c r="K362" s="8"/>
      <c r="L362" s="8"/>
    </row>
    <row r="363" spans="7:12" x14ac:dyDescent="0.55000000000000004">
      <c r="G363" s="8"/>
      <c r="H363" s="8"/>
      <c r="I363" s="8"/>
      <c r="J363" s="8"/>
      <c r="K363" s="8"/>
      <c r="L363" s="8"/>
    </row>
    <row r="364" spans="7:12" x14ac:dyDescent="0.55000000000000004">
      <c r="G364" s="8"/>
      <c r="H364" s="8"/>
      <c r="I364" s="8"/>
      <c r="J364" s="8"/>
      <c r="K364" s="8"/>
      <c r="L364" s="8"/>
    </row>
    <row r="365" spans="7:12" x14ac:dyDescent="0.55000000000000004">
      <c r="G365" s="8"/>
      <c r="H365" s="8"/>
      <c r="I365" s="8"/>
      <c r="J365" s="8"/>
      <c r="K365" s="8"/>
      <c r="L365" s="8"/>
    </row>
    <row r="366" spans="7:12" x14ac:dyDescent="0.55000000000000004">
      <c r="G366" s="8"/>
      <c r="H366" s="8"/>
      <c r="I366" s="8"/>
      <c r="J366" s="8"/>
      <c r="K366" s="8"/>
      <c r="L366" s="8"/>
    </row>
    <row r="367" spans="7:12" x14ac:dyDescent="0.55000000000000004">
      <c r="G367" s="8"/>
      <c r="H367" s="8"/>
      <c r="I367" s="8"/>
      <c r="J367" s="8"/>
      <c r="K367" s="8"/>
      <c r="L367" s="8"/>
    </row>
    <row r="368" spans="7:12" x14ac:dyDescent="0.55000000000000004">
      <c r="G368" s="8"/>
      <c r="H368" s="8"/>
      <c r="I368" s="8"/>
      <c r="J368" s="8"/>
      <c r="K368" s="8"/>
      <c r="L368" s="8"/>
    </row>
    <row r="369" spans="7:12" x14ac:dyDescent="0.55000000000000004">
      <c r="G369" s="8"/>
      <c r="H369" s="8"/>
      <c r="I369" s="8"/>
      <c r="J369" s="8"/>
      <c r="K369" s="8"/>
      <c r="L369" s="8"/>
    </row>
    <row r="370" spans="7:12" x14ac:dyDescent="0.55000000000000004">
      <c r="G370" s="8"/>
      <c r="H370" s="8"/>
      <c r="I370" s="8"/>
      <c r="J370" s="8"/>
      <c r="K370" s="8"/>
      <c r="L370" s="8"/>
    </row>
    <row r="371" spans="7:12" x14ac:dyDescent="0.55000000000000004">
      <c r="G371" s="8"/>
      <c r="H371" s="8"/>
      <c r="I371" s="8"/>
      <c r="J371" s="8"/>
      <c r="K371" s="8"/>
      <c r="L371" s="8"/>
    </row>
    <row r="372" spans="7:12" x14ac:dyDescent="0.55000000000000004">
      <c r="G372" s="8"/>
      <c r="H372" s="8"/>
      <c r="I372" s="8"/>
      <c r="J372" s="8"/>
      <c r="K372" s="8"/>
      <c r="L372" s="8"/>
    </row>
    <row r="373" spans="7:12" x14ac:dyDescent="0.55000000000000004">
      <c r="G373" s="8"/>
      <c r="H373" s="8"/>
      <c r="I373" s="8"/>
      <c r="J373" s="8"/>
      <c r="K373" s="8"/>
      <c r="L373" s="8"/>
    </row>
    <row r="374" spans="7:12" x14ac:dyDescent="0.55000000000000004">
      <c r="G374" s="8"/>
      <c r="H374" s="8"/>
      <c r="I374" s="8"/>
      <c r="J374" s="8"/>
      <c r="K374" s="8"/>
      <c r="L374" s="8"/>
    </row>
    <row r="375" spans="7:12" x14ac:dyDescent="0.55000000000000004">
      <c r="G375" s="8"/>
      <c r="H375" s="8"/>
      <c r="I375" s="8"/>
      <c r="J375" s="8"/>
      <c r="K375" s="8"/>
      <c r="L375" s="8"/>
    </row>
    <row r="376" spans="7:12" x14ac:dyDescent="0.55000000000000004">
      <c r="G376" s="8"/>
      <c r="H376" s="8"/>
      <c r="I376" s="8"/>
      <c r="J376" s="8"/>
      <c r="K376" s="8"/>
      <c r="L376" s="8"/>
    </row>
    <row r="377" spans="7:12" x14ac:dyDescent="0.55000000000000004">
      <c r="G377" s="8"/>
      <c r="H377" s="8"/>
      <c r="I377" s="8"/>
      <c r="J377" s="8"/>
      <c r="K377" s="8"/>
      <c r="L377" s="8"/>
    </row>
    <row r="378" spans="7:12" x14ac:dyDescent="0.55000000000000004">
      <c r="G378" s="8"/>
      <c r="H378" s="8"/>
      <c r="I378" s="8"/>
      <c r="J378" s="8"/>
      <c r="K378" s="8"/>
      <c r="L378" s="8"/>
    </row>
    <row r="379" spans="7:12" x14ac:dyDescent="0.55000000000000004">
      <c r="G379" s="8"/>
      <c r="H379" s="8"/>
      <c r="I379" s="8"/>
      <c r="J379" s="8"/>
      <c r="K379" s="8"/>
      <c r="L379" s="8"/>
    </row>
    <row r="380" spans="7:12" x14ac:dyDescent="0.55000000000000004">
      <c r="G380" s="8"/>
      <c r="H380" s="8"/>
      <c r="I380" s="8"/>
      <c r="J380" s="8"/>
      <c r="K380" s="8"/>
      <c r="L380" s="8"/>
    </row>
    <row r="381" spans="7:12" x14ac:dyDescent="0.55000000000000004">
      <c r="G381" s="8"/>
      <c r="H381" s="8"/>
      <c r="I381" s="8"/>
      <c r="J381" s="8"/>
      <c r="K381" s="8"/>
      <c r="L381" s="8"/>
    </row>
    <row r="382" spans="7:12" x14ac:dyDescent="0.55000000000000004">
      <c r="G382" s="8"/>
      <c r="H382" s="8"/>
      <c r="I382" s="8"/>
      <c r="J382" s="8"/>
      <c r="K382" s="8"/>
      <c r="L382" s="8"/>
    </row>
    <row r="383" spans="7:12" x14ac:dyDescent="0.55000000000000004">
      <c r="G383" s="8"/>
      <c r="H383" s="8"/>
      <c r="I383" s="8"/>
      <c r="J383" s="8"/>
      <c r="K383" s="8"/>
      <c r="L383" s="8"/>
    </row>
    <row r="384" spans="7:12" x14ac:dyDescent="0.55000000000000004">
      <c r="G384" s="8"/>
      <c r="H384" s="8"/>
      <c r="I384" s="8"/>
      <c r="J384" s="8"/>
      <c r="K384" s="8"/>
      <c r="L384" s="8"/>
    </row>
    <row r="385" spans="7:12" x14ac:dyDescent="0.55000000000000004">
      <c r="G385" s="8"/>
      <c r="H385" s="8"/>
      <c r="I385" s="8"/>
      <c r="J385" s="8"/>
      <c r="K385" s="8"/>
      <c r="L385" s="8"/>
    </row>
    <row r="386" spans="7:12" x14ac:dyDescent="0.55000000000000004">
      <c r="G386" s="8"/>
      <c r="H386" s="8"/>
      <c r="I386" s="8"/>
      <c r="J386" s="8"/>
      <c r="K386" s="8"/>
      <c r="L386" s="8"/>
    </row>
    <row r="387" spans="7:12" x14ac:dyDescent="0.55000000000000004">
      <c r="G387" s="8"/>
      <c r="H387" s="8"/>
      <c r="I387" s="8"/>
      <c r="J387" s="8"/>
      <c r="K387" s="8"/>
      <c r="L387" s="8"/>
    </row>
    <row r="388" spans="7:12" x14ac:dyDescent="0.55000000000000004">
      <c r="G388" s="8"/>
      <c r="H388" s="8"/>
      <c r="I388" s="8"/>
      <c r="J388" s="8"/>
      <c r="K388" s="8"/>
      <c r="L388" s="8"/>
    </row>
    <row r="389" spans="7:12" x14ac:dyDescent="0.55000000000000004">
      <c r="G389" s="8"/>
      <c r="H389" s="8"/>
      <c r="I389" s="8"/>
      <c r="J389" s="8"/>
      <c r="K389" s="8"/>
      <c r="L389" s="8"/>
    </row>
    <row r="390" spans="7:12" x14ac:dyDescent="0.55000000000000004">
      <c r="G390" s="8"/>
      <c r="H390" s="8"/>
      <c r="I390" s="8"/>
      <c r="J390" s="8"/>
      <c r="K390" s="8"/>
      <c r="L390" s="8"/>
    </row>
    <row r="391" spans="7:12" x14ac:dyDescent="0.55000000000000004">
      <c r="G391" s="8"/>
      <c r="H391" s="8"/>
      <c r="I391" s="8"/>
      <c r="J391" s="8"/>
      <c r="K391" s="8"/>
      <c r="L391" s="8"/>
    </row>
    <row r="392" spans="7:12" x14ac:dyDescent="0.55000000000000004">
      <c r="G392" s="8"/>
      <c r="H392" s="8"/>
      <c r="I392" s="8"/>
      <c r="J392" s="8"/>
      <c r="K392" s="8"/>
      <c r="L392" s="8"/>
    </row>
    <row r="393" spans="7:12" x14ac:dyDescent="0.55000000000000004">
      <c r="G393" s="8"/>
      <c r="H393" s="8"/>
      <c r="I393" s="8"/>
      <c r="J393" s="8"/>
      <c r="K393" s="8"/>
      <c r="L393" s="8"/>
    </row>
    <row r="394" spans="7:12" x14ac:dyDescent="0.55000000000000004">
      <c r="G394" s="8"/>
      <c r="H394" s="8"/>
      <c r="I394" s="8"/>
      <c r="J394" s="8"/>
      <c r="K394" s="8"/>
      <c r="L394" s="8"/>
    </row>
    <row r="395" spans="7:12" x14ac:dyDescent="0.55000000000000004">
      <c r="G395" s="8"/>
      <c r="H395" s="8"/>
      <c r="I395" s="8"/>
      <c r="J395" s="8"/>
      <c r="K395" s="8"/>
      <c r="L395" s="8"/>
    </row>
    <row r="396" spans="7:12" x14ac:dyDescent="0.55000000000000004">
      <c r="G396" s="8"/>
      <c r="H396" s="8"/>
      <c r="I396" s="8"/>
      <c r="J396" s="8"/>
      <c r="K396" s="8"/>
      <c r="L396" s="8"/>
    </row>
    <row r="397" spans="7:12" x14ac:dyDescent="0.55000000000000004">
      <c r="G397" s="8"/>
      <c r="H397" s="8"/>
      <c r="I397" s="8"/>
      <c r="J397" s="8"/>
      <c r="K397" s="8"/>
      <c r="L397" s="8"/>
    </row>
    <row r="398" spans="7:12" x14ac:dyDescent="0.55000000000000004">
      <c r="G398" s="8"/>
      <c r="H398" s="8"/>
      <c r="I398" s="8"/>
      <c r="J398" s="8"/>
      <c r="K398" s="8"/>
      <c r="L398" s="8"/>
    </row>
    <row r="399" spans="7:12" x14ac:dyDescent="0.55000000000000004">
      <c r="G399" s="8"/>
      <c r="H399" s="8"/>
      <c r="I399" s="8"/>
      <c r="J399" s="8"/>
      <c r="K399" s="8"/>
      <c r="L399" s="8"/>
    </row>
    <row r="400" spans="7:12" x14ac:dyDescent="0.55000000000000004">
      <c r="G400" s="8"/>
      <c r="H400" s="8"/>
      <c r="I400" s="8"/>
      <c r="J400" s="8"/>
      <c r="K400" s="8"/>
      <c r="L400" s="8"/>
    </row>
    <row r="401" spans="7:12" x14ac:dyDescent="0.55000000000000004">
      <c r="G401" s="8"/>
      <c r="H401" s="8"/>
      <c r="I401" s="8"/>
      <c r="J401" s="8"/>
      <c r="K401" s="8"/>
      <c r="L401" s="8"/>
    </row>
    <row r="402" spans="7:12" x14ac:dyDescent="0.55000000000000004">
      <c r="G402" s="8"/>
      <c r="H402" s="8"/>
      <c r="I402" s="8"/>
      <c r="J402" s="8"/>
      <c r="K402" s="8"/>
      <c r="L402" s="8"/>
    </row>
    <row r="403" spans="7:12" x14ac:dyDescent="0.55000000000000004">
      <c r="G403" s="8"/>
      <c r="H403" s="8"/>
      <c r="I403" s="8"/>
      <c r="J403" s="8"/>
      <c r="K403" s="8"/>
      <c r="L403" s="8"/>
    </row>
    <row r="404" spans="7:12" x14ac:dyDescent="0.55000000000000004">
      <c r="G404" s="8"/>
      <c r="H404" s="8"/>
      <c r="I404" s="8"/>
      <c r="J404" s="8"/>
      <c r="K404" s="8"/>
      <c r="L404" s="8"/>
    </row>
    <row r="405" spans="7:12" x14ac:dyDescent="0.55000000000000004">
      <c r="G405" s="8"/>
      <c r="H405" s="8"/>
      <c r="I405" s="8"/>
      <c r="J405" s="8"/>
      <c r="K405" s="8"/>
      <c r="L405" s="8"/>
    </row>
    <row r="406" spans="7:12" x14ac:dyDescent="0.55000000000000004">
      <c r="G406" s="8"/>
      <c r="H406" s="8"/>
      <c r="I406" s="8"/>
      <c r="J406" s="8"/>
      <c r="K406" s="8"/>
      <c r="L406" s="8"/>
    </row>
    <row r="407" spans="7:12" x14ac:dyDescent="0.55000000000000004">
      <c r="G407" s="8"/>
      <c r="H407" s="8"/>
      <c r="I407" s="8"/>
      <c r="J407" s="8"/>
      <c r="K407" s="8"/>
      <c r="L407" s="8"/>
    </row>
    <row r="408" spans="7:12" x14ac:dyDescent="0.55000000000000004">
      <c r="G408" s="8"/>
      <c r="H408" s="8"/>
      <c r="I408" s="8"/>
      <c r="J408" s="8"/>
      <c r="K408" s="8"/>
      <c r="L408" s="8"/>
    </row>
    <row r="409" spans="7:12" x14ac:dyDescent="0.55000000000000004">
      <c r="G409" s="8"/>
      <c r="H409" s="8"/>
      <c r="I409" s="8"/>
      <c r="J409" s="8"/>
      <c r="K409" s="8"/>
      <c r="L409" s="8"/>
    </row>
    <row r="410" spans="7:12" x14ac:dyDescent="0.55000000000000004">
      <c r="G410" s="8"/>
      <c r="H410" s="8"/>
      <c r="I410" s="8"/>
      <c r="J410" s="8"/>
      <c r="K410" s="8"/>
      <c r="L410" s="8"/>
    </row>
    <row r="411" spans="7:12" x14ac:dyDescent="0.55000000000000004">
      <c r="G411" s="8"/>
      <c r="H411" s="8"/>
      <c r="I411" s="8"/>
      <c r="J411" s="8"/>
      <c r="K411" s="8"/>
      <c r="L411" s="8"/>
    </row>
    <row r="412" spans="7:12" x14ac:dyDescent="0.55000000000000004">
      <c r="G412" s="8"/>
      <c r="H412" s="8"/>
      <c r="I412" s="8"/>
      <c r="J412" s="8"/>
      <c r="K412" s="8"/>
      <c r="L412" s="8"/>
    </row>
    <row r="413" spans="7:12" x14ac:dyDescent="0.55000000000000004">
      <c r="G413" s="8"/>
      <c r="H413" s="8"/>
      <c r="I413" s="8"/>
      <c r="J413" s="8"/>
      <c r="K413" s="8"/>
      <c r="L413" s="8"/>
    </row>
    <row r="414" spans="7:12" x14ac:dyDescent="0.55000000000000004">
      <c r="G414" s="8"/>
      <c r="H414" s="8"/>
      <c r="I414" s="8"/>
      <c r="J414" s="8"/>
      <c r="K414" s="8"/>
      <c r="L414" s="8"/>
    </row>
    <row r="415" spans="7:12" x14ac:dyDescent="0.55000000000000004">
      <c r="G415" s="8"/>
      <c r="H415" s="8"/>
      <c r="I415" s="8"/>
      <c r="J415" s="8"/>
      <c r="K415" s="8"/>
      <c r="L415" s="8"/>
    </row>
    <row r="416" spans="7:12" x14ac:dyDescent="0.55000000000000004">
      <c r="G416" s="8"/>
      <c r="H416" s="8"/>
      <c r="I416" s="8"/>
      <c r="J416" s="8"/>
      <c r="K416" s="8"/>
      <c r="L416" s="8"/>
    </row>
    <row r="417" spans="7:12" x14ac:dyDescent="0.55000000000000004">
      <c r="G417" s="8"/>
      <c r="H417" s="8"/>
      <c r="I417" s="8"/>
      <c r="J417" s="8"/>
      <c r="K417" s="8"/>
      <c r="L417" s="8"/>
    </row>
    <row r="418" spans="7:12" x14ac:dyDescent="0.55000000000000004">
      <c r="G418" s="8"/>
      <c r="H418" s="8"/>
      <c r="I418" s="8"/>
      <c r="J418" s="8"/>
      <c r="K418" s="8"/>
      <c r="L418" s="8"/>
    </row>
    <row r="419" spans="7:12" x14ac:dyDescent="0.55000000000000004">
      <c r="G419" s="8"/>
      <c r="H419" s="8"/>
      <c r="I419" s="8"/>
      <c r="J419" s="8"/>
      <c r="K419" s="8"/>
      <c r="L419" s="8"/>
    </row>
    <row r="420" spans="7:12" x14ac:dyDescent="0.55000000000000004">
      <c r="G420" s="8"/>
      <c r="H420" s="8"/>
      <c r="I420" s="8"/>
      <c r="J420" s="8"/>
      <c r="K420" s="8"/>
      <c r="L420" s="8"/>
    </row>
    <row r="421" spans="7:12" x14ac:dyDescent="0.55000000000000004">
      <c r="G421" s="8"/>
      <c r="H421" s="8"/>
      <c r="I421" s="8"/>
      <c r="J421" s="8"/>
      <c r="K421" s="8"/>
      <c r="L421" s="8"/>
    </row>
    <row r="422" spans="7:12" x14ac:dyDescent="0.55000000000000004">
      <c r="G422" s="8"/>
      <c r="H422" s="8"/>
      <c r="I422" s="8"/>
      <c r="J422" s="8"/>
      <c r="K422" s="8"/>
      <c r="L422" s="8"/>
    </row>
    <row r="423" spans="7:12" x14ac:dyDescent="0.55000000000000004">
      <c r="G423" s="8"/>
      <c r="H423" s="8"/>
      <c r="I423" s="8"/>
      <c r="J423" s="8"/>
      <c r="K423" s="8"/>
      <c r="L423" s="8"/>
    </row>
    <row r="424" spans="7:12" x14ac:dyDescent="0.55000000000000004">
      <c r="G424" s="8"/>
      <c r="H424" s="8"/>
      <c r="I424" s="8"/>
      <c r="J424" s="8"/>
      <c r="K424" s="8"/>
      <c r="L424" s="8"/>
    </row>
    <row r="425" spans="7:12" x14ac:dyDescent="0.55000000000000004">
      <c r="G425" s="8"/>
      <c r="H425" s="8"/>
      <c r="I425" s="8"/>
      <c r="J425" s="8"/>
      <c r="K425" s="8"/>
      <c r="L425" s="8"/>
    </row>
    <row r="426" spans="7:12" x14ac:dyDescent="0.55000000000000004">
      <c r="G426" s="8"/>
      <c r="H426" s="8"/>
      <c r="I426" s="8"/>
      <c r="J426" s="8"/>
      <c r="K426" s="8"/>
      <c r="L426" s="8"/>
    </row>
    <row r="427" spans="7:12" x14ac:dyDescent="0.55000000000000004">
      <c r="G427" s="8"/>
      <c r="H427" s="8"/>
      <c r="I427" s="8"/>
      <c r="J427" s="8"/>
      <c r="K427" s="8"/>
      <c r="L427" s="8"/>
    </row>
    <row r="428" spans="7:12" x14ac:dyDescent="0.55000000000000004">
      <c r="G428" s="8"/>
      <c r="H428" s="8"/>
      <c r="I428" s="8"/>
      <c r="J428" s="8"/>
      <c r="K428" s="8"/>
      <c r="L428" s="8"/>
    </row>
    <row r="429" spans="7:12" x14ac:dyDescent="0.55000000000000004">
      <c r="G429" s="8"/>
      <c r="H429" s="8"/>
      <c r="I429" s="8"/>
      <c r="J429" s="8"/>
      <c r="K429" s="8"/>
      <c r="L429" s="8"/>
    </row>
    <row r="430" spans="7:12" x14ac:dyDescent="0.55000000000000004">
      <c r="G430" s="8"/>
      <c r="H430" s="8"/>
      <c r="I430" s="8"/>
      <c r="J430" s="8"/>
      <c r="K430" s="8"/>
      <c r="L430" s="8"/>
    </row>
    <row r="431" spans="7:12" x14ac:dyDescent="0.55000000000000004">
      <c r="G431" s="8"/>
      <c r="H431" s="8"/>
      <c r="I431" s="8"/>
      <c r="J431" s="8"/>
      <c r="K431" s="8"/>
      <c r="L431" s="8"/>
    </row>
    <row r="432" spans="7:12" x14ac:dyDescent="0.55000000000000004">
      <c r="G432" s="8"/>
      <c r="H432" s="8"/>
      <c r="I432" s="8"/>
      <c r="J432" s="8"/>
      <c r="K432" s="8"/>
      <c r="L432" s="8"/>
    </row>
    <row r="433" spans="7:12" x14ac:dyDescent="0.55000000000000004">
      <c r="G433" s="8"/>
      <c r="H433" s="8"/>
      <c r="I433" s="8"/>
      <c r="J433" s="8"/>
      <c r="K433" s="8"/>
      <c r="L433" s="8"/>
    </row>
    <row r="434" spans="7:12" x14ac:dyDescent="0.55000000000000004">
      <c r="G434" s="8"/>
      <c r="H434" s="8"/>
      <c r="I434" s="8"/>
      <c r="J434" s="8"/>
      <c r="K434" s="8"/>
      <c r="L434" s="8"/>
    </row>
    <row r="435" spans="7:12" x14ac:dyDescent="0.55000000000000004">
      <c r="G435" s="8"/>
      <c r="H435" s="8"/>
      <c r="I435" s="8"/>
      <c r="J435" s="8"/>
      <c r="K435" s="8"/>
      <c r="L435" s="8"/>
    </row>
    <row r="436" spans="7:12" x14ac:dyDescent="0.55000000000000004">
      <c r="G436" s="8"/>
      <c r="H436" s="8"/>
      <c r="I436" s="8"/>
      <c r="J436" s="8"/>
      <c r="K436" s="8"/>
      <c r="L436" s="8"/>
    </row>
    <row r="437" spans="7:12" x14ac:dyDescent="0.55000000000000004">
      <c r="G437" s="8"/>
      <c r="H437" s="8"/>
      <c r="I437" s="8"/>
      <c r="J437" s="8"/>
      <c r="K437" s="8"/>
      <c r="L437" s="8"/>
    </row>
    <row r="438" spans="7:12" x14ac:dyDescent="0.55000000000000004">
      <c r="G438" s="8"/>
      <c r="H438" s="8"/>
      <c r="I438" s="8"/>
      <c r="J438" s="8"/>
      <c r="K438" s="8"/>
      <c r="L438" s="8"/>
    </row>
    <row r="439" spans="7:12" x14ac:dyDescent="0.55000000000000004">
      <c r="G439" s="8"/>
      <c r="H439" s="8"/>
      <c r="I439" s="8"/>
      <c r="J439" s="8"/>
      <c r="K439" s="8"/>
      <c r="L439" s="8"/>
    </row>
    <row r="440" spans="7:12" x14ac:dyDescent="0.55000000000000004">
      <c r="G440" s="8"/>
      <c r="H440" s="8"/>
      <c r="I440" s="8"/>
      <c r="J440" s="8"/>
      <c r="K440" s="8"/>
      <c r="L440" s="8"/>
    </row>
    <row r="441" spans="7:12" x14ac:dyDescent="0.55000000000000004">
      <c r="G441" s="8"/>
      <c r="H441" s="8"/>
      <c r="I441" s="8"/>
      <c r="J441" s="8"/>
      <c r="K441" s="8"/>
      <c r="L441" s="8"/>
    </row>
    <row r="442" spans="7:12" x14ac:dyDescent="0.55000000000000004">
      <c r="G442" s="8"/>
      <c r="H442" s="8"/>
      <c r="I442" s="8"/>
      <c r="J442" s="8"/>
      <c r="K442" s="8"/>
      <c r="L442" s="8"/>
    </row>
    <row r="443" spans="7:12" x14ac:dyDescent="0.55000000000000004">
      <c r="G443" s="8"/>
      <c r="H443" s="8"/>
      <c r="I443" s="8"/>
      <c r="J443" s="8"/>
      <c r="K443" s="8"/>
      <c r="L443" s="8"/>
    </row>
    <row r="444" spans="7:12" x14ac:dyDescent="0.55000000000000004">
      <c r="G444" s="8"/>
      <c r="H444" s="8"/>
      <c r="I444" s="8"/>
      <c r="J444" s="8"/>
      <c r="K444" s="8"/>
      <c r="L444" s="8"/>
    </row>
    <row r="445" spans="7:12" x14ac:dyDescent="0.55000000000000004">
      <c r="G445" s="8"/>
      <c r="H445" s="8"/>
      <c r="I445" s="8"/>
      <c r="J445" s="8"/>
      <c r="K445" s="8"/>
      <c r="L445" s="8"/>
    </row>
    <row r="446" spans="7:12" x14ac:dyDescent="0.55000000000000004">
      <c r="G446" s="8"/>
      <c r="H446" s="8"/>
      <c r="I446" s="8"/>
      <c r="J446" s="8"/>
      <c r="K446" s="8"/>
      <c r="L446" s="8"/>
    </row>
    <row r="447" spans="7:12" x14ac:dyDescent="0.55000000000000004">
      <c r="G447" s="8"/>
      <c r="H447" s="8"/>
      <c r="I447" s="8"/>
      <c r="J447" s="8"/>
      <c r="K447" s="8"/>
      <c r="L447" s="8"/>
    </row>
    <row r="448" spans="7:12" x14ac:dyDescent="0.55000000000000004">
      <c r="G448" s="8"/>
      <c r="H448" s="8"/>
      <c r="I448" s="8"/>
      <c r="J448" s="8"/>
      <c r="K448" s="8"/>
      <c r="L448" s="8"/>
    </row>
    <row r="449" spans="7:12" x14ac:dyDescent="0.55000000000000004">
      <c r="G449" s="8"/>
      <c r="H449" s="8"/>
      <c r="I449" s="8"/>
      <c r="J449" s="8"/>
      <c r="K449" s="8"/>
      <c r="L449" s="8"/>
    </row>
    <row r="450" spans="7:12" x14ac:dyDescent="0.55000000000000004">
      <c r="G450" s="8"/>
      <c r="H450" s="8"/>
      <c r="I450" s="8"/>
      <c r="J450" s="8"/>
      <c r="K450" s="8"/>
      <c r="L450" s="8"/>
    </row>
    <row r="451" spans="7:12" x14ac:dyDescent="0.55000000000000004">
      <c r="G451" s="8"/>
      <c r="H451" s="8"/>
      <c r="I451" s="8"/>
      <c r="J451" s="8"/>
      <c r="K451" s="8"/>
      <c r="L451" s="8"/>
    </row>
    <row r="452" spans="7:12" x14ac:dyDescent="0.55000000000000004">
      <c r="G452" s="8"/>
      <c r="H452" s="8"/>
      <c r="I452" s="8"/>
      <c r="J452" s="8"/>
      <c r="K452" s="8"/>
      <c r="L452" s="8"/>
    </row>
    <row r="453" spans="7:12" x14ac:dyDescent="0.55000000000000004">
      <c r="G453" s="8"/>
      <c r="H453" s="8"/>
      <c r="I453" s="8"/>
      <c r="J453" s="8"/>
      <c r="K453" s="8"/>
      <c r="L453" s="8"/>
    </row>
    <row r="454" spans="7:12" x14ac:dyDescent="0.55000000000000004">
      <c r="G454" s="8"/>
      <c r="H454" s="8"/>
      <c r="I454" s="8"/>
      <c r="J454" s="8"/>
      <c r="K454" s="8"/>
      <c r="L454" s="8"/>
    </row>
    <row r="455" spans="7:12" x14ac:dyDescent="0.55000000000000004">
      <c r="G455" s="8"/>
      <c r="H455" s="8"/>
      <c r="I455" s="8"/>
      <c r="J455" s="8"/>
      <c r="K455" s="8"/>
      <c r="L455" s="8"/>
    </row>
    <row r="456" spans="7:12" x14ac:dyDescent="0.55000000000000004">
      <c r="G456" s="8"/>
      <c r="H456" s="8"/>
      <c r="I456" s="8"/>
      <c r="J456" s="8"/>
      <c r="K456" s="8"/>
      <c r="L456" s="8"/>
    </row>
    <row r="457" spans="7:12" x14ac:dyDescent="0.55000000000000004">
      <c r="G457" s="8"/>
      <c r="H457" s="8"/>
      <c r="I457" s="8"/>
      <c r="J457" s="8"/>
      <c r="K457" s="8"/>
      <c r="L457" s="8"/>
    </row>
    <row r="458" spans="7:12" x14ac:dyDescent="0.55000000000000004">
      <c r="G458" s="8"/>
      <c r="H458" s="8"/>
      <c r="I458" s="8"/>
      <c r="J458" s="8"/>
      <c r="K458" s="8"/>
      <c r="L458" s="8"/>
    </row>
    <row r="459" spans="7:12" x14ac:dyDescent="0.55000000000000004">
      <c r="G459" s="8"/>
      <c r="H459" s="8"/>
      <c r="I459" s="8"/>
      <c r="J459" s="8"/>
      <c r="K459" s="8"/>
      <c r="L459" s="8"/>
    </row>
    <row r="460" spans="7:12" x14ac:dyDescent="0.55000000000000004">
      <c r="G460" s="8"/>
      <c r="H460" s="8"/>
      <c r="I460" s="8"/>
      <c r="J460" s="8"/>
      <c r="K460" s="8"/>
      <c r="L460" s="8"/>
    </row>
    <row r="461" spans="7:12" x14ac:dyDescent="0.55000000000000004">
      <c r="G461" s="8"/>
      <c r="H461" s="8"/>
      <c r="I461" s="8"/>
      <c r="J461" s="8"/>
      <c r="K461" s="8"/>
      <c r="L461" s="8"/>
    </row>
    <row r="462" spans="7:12" x14ac:dyDescent="0.55000000000000004">
      <c r="G462" s="8"/>
      <c r="H462" s="8"/>
      <c r="I462" s="8"/>
      <c r="J462" s="8"/>
      <c r="K462" s="8"/>
      <c r="L462" s="8"/>
    </row>
    <row r="463" spans="7:12" x14ac:dyDescent="0.55000000000000004">
      <c r="G463" s="8"/>
      <c r="H463" s="8"/>
      <c r="I463" s="8"/>
      <c r="J463" s="8"/>
      <c r="K463" s="8"/>
      <c r="L463" s="8"/>
    </row>
    <row r="464" spans="7:12" x14ac:dyDescent="0.55000000000000004">
      <c r="G464" s="8"/>
      <c r="H464" s="8"/>
      <c r="I464" s="8"/>
      <c r="J464" s="8"/>
      <c r="K464" s="8"/>
      <c r="L464" s="8"/>
    </row>
    <row r="465" spans="7:12" x14ac:dyDescent="0.55000000000000004">
      <c r="G465" s="8"/>
      <c r="H465" s="8"/>
      <c r="I465" s="8"/>
      <c r="J465" s="8"/>
      <c r="K465" s="8"/>
      <c r="L465" s="8"/>
    </row>
    <row r="466" spans="7:12" x14ac:dyDescent="0.55000000000000004">
      <c r="G466" s="8"/>
      <c r="H466" s="8"/>
      <c r="I466" s="8"/>
      <c r="J466" s="8"/>
      <c r="K466" s="8"/>
      <c r="L466" s="8"/>
    </row>
    <row r="467" spans="7:12" x14ac:dyDescent="0.55000000000000004">
      <c r="G467" s="8"/>
      <c r="H467" s="8"/>
      <c r="I467" s="8"/>
      <c r="J467" s="8"/>
      <c r="K467" s="8"/>
      <c r="L467" s="8"/>
    </row>
    <row r="468" spans="7:12" x14ac:dyDescent="0.55000000000000004">
      <c r="G468" s="8"/>
      <c r="H468" s="8"/>
      <c r="I468" s="8"/>
      <c r="J468" s="8"/>
      <c r="K468" s="8"/>
      <c r="L468" s="8"/>
    </row>
    <row r="469" spans="7:12" x14ac:dyDescent="0.55000000000000004">
      <c r="G469" s="8"/>
      <c r="H469" s="8"/>
      <c r="I469" s="8"/>
      <c r="J469" s="8"/>
      <c r="K469" s="8"/>
      <c r="L469" s="8"/>
    </row>
    <row r="470" spans="7:12" x14ac:dyDescent="0.55000000000000004">
      <c r="G470" s="8"/>
      <c r="H470" s="8"/>
      <c r="I470" s="8"/>
      <c r="J470" s="8"/>
      <c r="K470" s="8"/>
      <c r="L470" s="8"/>
    </row>
    <row r="471" spans="7:12" x14ac:dyDescent="0.55000000000000004">
      <c r="G471" s="8"/>
      <c r="H471" s="8"/>
      <c r="I471" s="8"/>
      <c r="J471" s="8"/>
      <c r="K471" s="8"/>
      <c r="L471" s="8"/>
    </row>
    <row r="472" spans="7:12" x14ac:dyDescent="0.55000000000000004">
      <c r="G472" s="8"/>
      <c r="H472" s="8"/>
      <c r="I472" s="8"/>
      <c r="J472" s="8"/>
      <c r="K472" s="8"/>
      <c r="L472" s="8"/>
    </row>
    <row r="473" spans="7:12" x14ac:dyDescent="0.55000000000000004">
      <c r="G473" s="8"/>
      <c r="H473" s="8"/>
      <c r="I473" s="8"/>
      <c r="J473" s="8"/>
      <c r="K473" s="8"/>
      <c r="L473" s="8"/>
    </row>
    <row r="474" spans="7:12" x14ac:dyDescent="0.55000000000000004">
      <c r="G474" s="8"/>
      <c r="H474" s="8"/>
      <c r="I474" s="8"/>
      <c r="J474" s="8"/>
      <c r="K474" s="8"/>
      <c r="L474" s="8"/>
    </row>
    <row r="475" spans="7:12" x14ac:dyDescent="0.55000000000000004">
      <c r="G475" s="8"/>
      <c r="H475" s="8"/>
      <c r="I475" s="8"/>
      <c r="J475" s="8"/>
      <c r="K475" s="8"/>
      <c r="L475" s="8"/>
    </row>
    <row r="476" spans="7:12" x14ac:dyDescent="0.55000000000000004">
      <c r="G476" s="8"/>
      <c r="H476" s="8"/>
      <c r="I476" s="8"/>
      <c r="J476" s="8"/>
      <c r="K476" s="8"/>
      <c r="L476" s="8"/>
    </row>
    <row r="477" spans="7:12" x14ac:dyDescent="0.55000000000000004">
      <c r="G477" s="8"/>
      <c r="H477" s="8"/>
      <c r="I477" s="8"/>
      <c r="J477" s="8"/>
      <c r="K477" s="8"/>
      <c r="L477" s="8"/>
    </row>
    <row r="478" spans="7:12" x14ac:dyDescent="0.55000000000000004">
      <c r="G478" s="8"/>
      <c r="H478" s="8"/>
      <c r="I478" s="8"/>
      <c r="J478" s="8"/>
      <c r="K478" s="8"/>
      <c r="L478" s="8"/>
    </row>
    <row r="479" spans="7:12" x14ac:dyDescent="0.55000000000000004">
      <c r="G479" s="8"/>
      <c r="H479" s="8"/>
      <c r="I479" s="8"/>
      <c r="J479" s="8"/>
      <c r="K479" s="8"/>
      <c r="L479" s="8"/>
    </row>
    <row r="480" spans="7:12" x14ac:dyDescent="0.55000000000000004">
      <c r="G480" s="8"/>
      <c r="H480" s="8"/>
      <c r="I480" s="8"/>
      <c r="J480" s="8"/>
      <c r="K480" s="8"/>
      <c r="L480" s="8"/>
    </row>
    <row r="481" spans="7:12" x14ac:dyDescent="0.55000000000000004">
      <c r="G481" s="8"/>
      <c r="H481" s="8"/>
      <c r="I481" s="8"/>
      <c r="J481" s="8"/>
      <c r="K481" s="8"/>
      <c r="L481" s="8"/>
    </row>
    <row r="482" spans="7:12" x14ac:dyDescent="0.55000000000000004">
      <c r="G482" s="8"/>
      <c r="H482" s="8"/>
      <c r="I482" s="8"/>
      <c r="J482" s="8"/>
      <c r="K482" s="8"/>
      <c r="L482" s="8"/>
    </row>
    <row r="483" spans="7:12" x14ac:dyDescent="0.55000000000000004">
      <c r="G483" s="8"/>
      <c r="H483" s="8"/>
      <c r="I483" s="8"/>
      <c r="J483" s="8"/>
      <c r="K483" s="8"/>
      <c r="L483" s="8"/>
    </row>
    <row r="484" spans="7:12" x14ac:dyDescent="0.55000000000000004">
      <c r="G484" s="8"/>
      <c r="H484" s="8"/>
      <c r="I484" s="8"/>
      <c r="J484" s="8"/>
      <c r="K484" s="8"/>
      <c r="L484" s="8"/>
    </row>
    <row r="485" spans="7:12" x14ac:dyDescent="0.55000000000000004">
      <c r="G485" s="8"/>
      <c r="H485" s="8"/>
      <c r="I485" s="8"/>
      <c r="J485" s="8"/>
      <c r="K485" s="8"/>
      <c r="L485" s="8"/>
    </row>
    <row r="486" spans="7:12" x14ac:dyDescent="0.55000000000000004">
      <c r="G486" s="8"/>
      <c r="H486" s="8"/>
      <c r="I486" s="8"/>
      <c r="J486" s="8"/>
      <c r="K486" s="8"/>
      <c r="L486" s="8"/>
    </row>
    <row r="487" spans="7:12" x14ac:dyDescent="0.55000000000000004">
      <c r="G487" s="8"/>
      <c r="H487" s="8"/>
      <c r="I487" s="8"/>
      <c r="J487" s="8"/>
      <c r="K487" s="8"/>
      <c r="L487" s="8"/>
    </row>
    <row r="488" spans="7:12" x14ac:dyDescent="0.55000000000000004">
      <c r="G488" s="8"/>
      <c r="H488" s="8"/>
      <c r="I488" s="8"/>
      <c r="J488" s="8"/>
      <c r="K488" s="8"/>
      <c r="L488" s="8"/>
    </row>
    <row r="489" spans="7:12" x14ac:dyDescent="0.55000000000000004">
      <c r="G489" s="8"/>
      <c r="H489" s="8"/>
      <c r="I489" s="8"/>
      <c r="J489" s="8"/>
      <c r="K489" s="8"/>
      <c r="L489" s="8"/>
    </row>
    <row r="490" spans="7:12" x14ac:dyDescent="0.55000000000000004">
      <c r="G490" s="8"/>
      <c r="H490" s="8"/>
      <c r="I490" s="8"/>
      <c r="J490" s="8"/>
      <c r="K490" s="8"/>
      <c r="L490" s="8"/>
    </row>
    <row r="491" spans="7:12" x14ac:dyDescent="0.55000000000000004">
      <c r="G491" s="8"/>
      <c r="H491" s="8"/>
      <c r="I491" s="8"/>
      <c r="J491" s="8"/>
      <c r="K491" s="8"/>
      <c r="L491" s="8"/>
    </row>
    <row r="492" spans="7:12" x14ac:dyDescent="0.55000000000000004">
      <c r="G492" s="8"/>
      <c r="H492" s="8"/>
      <c r="I492" s="8"/>
      <c r="J492" s="8"/>
      <c r="K492" s="8"/>
      <c r="L492" s="8"/>
    </row>
    <row r="493" spans="7:12" x14ac:dyDescent="0.55000000000000004">
      <c r="G493" s="8"/>
      <c r="H493" s="8"/>
      <c r="I493" s="8"/>
      <c r="J493" s="8"/>
      <c r="K493" s="8"/>
      <c r="L493" s="8"/>
    </row>
    <row r="494" spans="7:12" x14ac:dyDescent="0.55000000000000004">
      <c r="G494" s="8"/>
      <c r="H494" s="8"/>
      <c r="I494" s="8"/>
      <c r="J494" s="8"/>
      <c r="K494" s="8"/>
      <c r="L494" s="8"/>
    </row>
    <row r="495" spans="7:12" x14ac:dyDescent="0.55000000000000004">
      <c r="G495" s="8"/>
      <c r="H495" s="8"/>
      <c r="I495" s="8"/>
      <c r="J495" s="8"/>
      <c r="K495" s="8"/>
      <c r="L495" s="8"/>
    </row>
    <row r="496" spans="7:12" x14ac:dyDescent="0.55000000000000004">
      <c r="G496" s="8"/>
      <c r="H496" s="8"/>
      <c r="I496" s="8"/>
      <c r="J496" s="8"/>
      <c r="K496" s="8"/>
      <c r="L496" s="8"/>
    </row>
    <row r="497" spans="7:12" x14ac:dyDescent="0.55000000000000004">
      <c r="G497" s="8"/>
      <c r="H497" s="8"/>
      <c r="I497" s="8"/>
      <c r="J497" s="8"/>
      <c r="K497" s="8"/>
      <c r="L497" s="8"/>
    </row>
    <row r="498" spans="7:12" x14ac:dyDescent="0.55000000000000004">
      <c r="G498" s="8"/>
      <c r="H498" s="8"/>
      <c r="I498" s="8"/>
      <c r="J498" s="8"/>
      <c r="K498" s="8"/>
      <c r="L498" s="8"/>
    </row>
    <row r="499" spans="7:12" x14ac:dyDescent="0.55000000000000004">
      <c r="G499" s="8"/>
      <c r="H499" s="8"/>
      <c r="I499" s="8"/>
      <c r="J499" s="8"/>
      <c r="K499" s="8"/>
      <c r="L499" s="8"/>
    </row>
    <row r="500" spans="7:12" x14ac:dyDescent="0.55000000000000004">
      <c r="G500" s="8"/>
      <c r="H500" s="8"/>
      <c r="I500" s="8"/>
      <c r="J500" s="8"/>
      <c r="K500" s="8"/>
      <c r="L500" s="8"/>
    </row>
    <row r="501" spans="7:12" x14ac:dyDescent="0.55000000000000004">
      <c r="G501" s="8"/>
      <c r="H501" s="8"/>
      <c r="I501" s="8"/>
      <c r="J501" s="8"/>
      <c r="K501" s="8"/>
      <c r="L501" s="8"/>
    </row>
    <row r="502" spans="7:12" x14ac:dyDescent="0.55000000000000004">
      <c r="G502" s="8"/>
      <c r="H502" s="8"/>
      <c r="I502" s="8"/>
      <c r="J502" s="8"/>
      <c r="K502" s="8"/>
      <c r="L502" s="8"/>
    </row>
    <row r="503" spans="7:12" x14ac:dyDescent="0.55000000000000004">
      <c r="G503" s="8"/>
      <c r="H503" s="8"/>
      <c r="I503" s="8"/>
      <c r="J503" s="8"/>
      <c r="K503" s="8"/>
      <c r="L503" s="8"/>
    </row>
    <row r="504" spans="7:12" x14ac:dyDescent="0.55000000000000004">
      <c r="G504" s="8"/>
      <c r="H504" s="8"/>
      <c r="I504" s="8"/>
      <c r="J504" s="8"/>
      <c r="K504" s="8"/>
      <c r="L504" s="8"/>
    </row>
    <row r="505" spans="7:12" x14ac:dyDescent="0.55000000000000004">
      <c r="G505" s="8"/>
      <c r="H505" s="8"/>
      <c r="I505" s="8"/>
      <c r="J505" s="8"/>
      <c r="K505" s="8"/>
      <c r="L505" s="8"/>
    </row>
    <row r="506" spans="7:12" x14ac:dyDescent="0.55000000000000004">
      <c r="G506" s="8"/>
      <c r="H506" s="8"/>
      <c r="I506" s="8"/>
      <c r="J506" s="8"/>
      <c r="K506" s="8"/>
      <c r="L506" s="8"/>
    </row>
    <row r="507" spans="7:12" x14ac:dyDescent="0.55000000000000004">
      <c r="G507" s="8"/>
      <c r="H507" s="8"/>
      <c r="I507" s="8"/>
      <c r="J507" s="8"/>
      <c r="K507" s="8"/>
      <c r="L507" s="8"/>
    </row>
    <row r="508" spans="7:12" x14ac:dyDescent="0.55000000000000004">
      <c r="G508" s="8"/>
      <c r="H508" s="8"/>
      <c r="I508" s="8"/>
      <c r="J508" s="8"/>
      <c r="K508" s="8"/>
      <c r="L508" s="8"/>
    </row>
    <row r="509" spans="7:12" x14ac:dyDescent="0.55000000000000004">
      <c r="G509" s="8"/>
      <c r="H509" s="8"/>
      <c r="I509" s="8"/>
      <c r="J509" s="8"/>
      <c r="K509" s="8"/>
      <c r="L509" s="8"/>
    </row>
    <row r="510" spans="7:12" x14ac:dyDescent="0.55000000000000004">
      <c r="G510" s="8"/>
      <c r="H510" s="8"/>
      <c r="I510" s="8"/>
      <c r="J510" s="8"/>
      <c r="K510" s="8"/>
      <c r="L510" s="8"/>
    </row>
    <row r="511" spans="7:12" x14ac:dyDescent="0.55000000000000004">
      <c r="G511" s="8"/>
      <c r="H511" s="8"/>
      <c r="I511" s="8"/>
      <c r="J511" s="8"/>
      <c r="K511" s="8"/>
      <c r="L511" s="8"/>
    </row>
    <row r="512" spans="7:12" x14ac:dyDescent="0.55000000000000004">
      <c r="G512" s="8"/>
      <c r="H512" s="8"/>
      <c r="I512" s="8"/>
      <c r="J512" s="8"/>
      <c r="K512" s="8"/>
      <c r="L512" s="8"/>
    </row>
    <row r="513" spans="7:12" x14ac:dyDescent="0.55000000000000004">
      <c r="G513" s="8"/>
      <c r="H513" s="8"/>
      <c r="I513" s="8"/>
      <c r="J513" s="8"/>
      <c r="K513" s="8"/>
      <c r="L513" s="8"/>
    </row>
    <row r="514" spans="7:12" x14ac:dyDescent="0.55000000000000004">
      <c r="G514" s="8"/>
      <c r="H514" s="8"/>
      <c r="I514" s="8"/>
      <c r="J514" s="8"/>
      <c r="K514" s="8"/>
      <c r="L514" s="8"/>
    </row>
    <row r="515" spans="7:12" x14ac:dyDescent="0.55000000000000004">
      <c r="G515" s="8"/>
      <c r="H515" s="8"/>
      <c r="I515" s="8"/>
      <c r="J515" s="8"/>
      <c r="K515" s="8"/>
      <c r="L515" s="8"/>
    </row>
    <row r="516" spans="7:12" x14ac:dyDescent="0.55000000000000004">
      <c r="G516" s="8"/>
      <c r="H516" s="8"/>
      <c r="I516" s="8"/>
      <c r="J516" s="8"/>
      <c r="K516" s="8"/>
      <c r="L516" s="8"/>
    </row>
    <row r="517" spans="7:12" x14ac:dyDescent="0.55000000000000004">
      <c r="G517" s="8"/>
      <c r="H517" s="8"/>
      <c r="I517" s="8"/>
      <c r="J517" s="8"/>
      <c r="K517" s="8"/>
      <c r="L517" s="8"/>
    </row>
    <row r="518" spans="7:12" x14ac:dyDescent="0.55000000000000004">
      <c r="G518" s="8"/>
      <c r="H518" s="8"/>
      <c r="I518" s="8"/>
      <c r="J518" s="8"/>
      <c r="K518" s="8"/>
      <c r="L518" s="8"/>
    </row>
    <row r="519" spans="7:12" x14ac:dyDescent="0.55000000000000004">
      <c r="G519" s="8"/>
      <c r="H519" s="8"/>
      <c r="I519" s="8"/>
      <c r="J519" s="8"/>
      <c r="K519" s="8"/>
      <c r="L519" s="8"/>
    </row>
    <row r="520" spans="7:12" x14ac:dyDescent="0.55000000000000004">
      <c r="G520" s="8"/>
      <c r="H520" s="8"/>
      <c r="I520" s="8"/>
      <c r="J520" s="8"/>
      <c r="K520" s="8"/>
      <c r="L520" s="8"/>
    </row>
    <row r="521" spans="7:12" x14ac:dyDescent="0.55000000000000004">
      <c r="G521" s="8"/>
      <c r="H521" s="8"/>
      <c r="I521" s="8"/>
      <c r="J521" s="8"/>
      <c r="K521" s="8"/>
      <c r="L521" s="8"/>
    </row>
    <row r="522" spans="7:12" x14ac:dyDescent="0.55000000000000004">
      <c r="G522" s="8"/>
      <c r="H522" s="8"/>
      <c r="I522" s="8"/>
      <c r="J522" s="8"/>
      <c r="K522" s="8"/>
      <c r="L522" s="8"/>
    </row>
    <row r="523" spans="7:12" x14ac:dyDescent="0.55000000000000004">
      <c r="G523" s="8"/>
      <c r="H523" s="8"/>
      <c r="I523" s="8"/>
      <c r="J523" s="8"/>
      <c r="K523" s="8"/>
      <c r="L523" s="8"/>
    </row>
    <row r="524" spans="7:12" x14ac:dyDescent="0.55000000000000004">
      <c r="G524" s="8"/>
      <c r="H524" s="8"/>
      <c r="I524" s="8"/>
      <c r="J524" s="8"/>
      <c r="K524" s="8"/>
      <c r="L524" s="8"/>
    </row>
    <row r="525" spans="7:12" x14ac:dyDescent="0.55000000000000004">
      <c r="G525" s="8"/>
      <c r="H525" s="8"/>
      <c r="I525" s="8"/>
      <c r="J525" s="8"/>
      <c r="K525" s="8"/>
      <c r="L525" s="8"/>
    </row>
    <row r="526" spans="7:12" x14ac:dyDescent="0.55000000000000004">
      <c r="G526" s="8"/>
      <c r="H526" s="8"/>
      <c r="I526" s="8"/>
      <c r="J526" s="8"/>
      <c r="K526" s="8"/>
      <c r="L526" s="8"/>
    </row>
    <row r="527" spans="7:12" x14ac:dyDescent="0.55000000000000004">
      <c r="G527" s="8"/>
      <c r="H527" s="8"/>
      <c r="I527" s="8"/>
      <c r="J527" s="8"/>
      <c r="K527" s="8"/>
      <c r="L527" s="8"/>
    </row>
    <row r="528" spans="7:12" x14ac:dyDescent="0.55000000000000004">
      <c r="G528" s="8"/>
      <c r="H528" s="8"/>
      <c r="I528" s="8"/>
      <c r="J528" s="8"/>
      <c r="K528" s="8"/>
      <c r="L528" s="8"/>
    </row>
    <row r="529" spans="7:12" x14ac:dyDescent="0.55000000000000004">
      <c r="G529" s="8"/>
      <c r="H529" s="8"/>
      <c r="I529" s="8"/>
      <c r="J529" s="8"/>
      <c r="K529" s="8"/>
      <c r="L529" s="8"/>
    </row>
    <row r="530" spans="7:12" x14ac:dyDescent="0.55000000000000004">
      <c r="G530" s="8"/>
      <c r="H530" s="8"/>
      <c r="I530" s="8"/>
      <c r="J530" s="8"/>
      <c r="K530" s="8"/>
      <c r="L530" s="8"/>
    </row>
    <row r="531" spans="7:12" x14ac:dyDescent="0.55000000000000004">
      <c r="G531" s="8"/>
      <c r="H531" s="8"/>
      <c r="I531" s="8"/>
      <c r="J531" s="8"/>
      <c r="K531" s="8"/>
      <c r="L531" s="8"/>
    </row>
    <row r="532" spans="7:12" x14ac:dyDescent="0.55000000000000004">
      <c r="G532" s="8"/>
      <c r="H532" s="8"/>
      <c r="I532" s="8"/>
      <c r="J532" s="8"/>
      <c r="K532" s="8"/>
      <c r="L532" s="8"/>
    </row>
    <row r="533" spans="7:12" x14ac:dyDescent="0.55000000000000004">
      <c r="G533" s="8"/>
      <c r="H533" s="8"/>
      <c r="I533" s="8"/>
      <c r="J533" s="8"/>
      <c r="K533" s="8"/>
      <c r="L533" s="8"/>
    </row>
    <row r="534" spans="7:12" x14ac:dyDescent="0.55000000000000004">
      <c r="G534" s="8"/>
      <c r="H534" s="8"/>
      <c r="I534" s="8"/>
      <c r="J534" s="8"/>
      <c r="K534" s="8"/>
      <c r="L534" s="8"/>
    </row>
    <row r="535" spans="7:12" x14ac:dyDescent="0.55000000000000004">
      <c r="G535" s="8"/>
      <c r="H535" s="8"/>
      <c r="I535" s="8"/>
      <c r="J535" s="8"/>
      <c r="K535" s="8"/>
      <c r="L535" s="8"/>
    </row>
    <row r="536" spans="7:12" x14ac:dyDescent="0.55000000000000004">
      <c r="G536" s="8"/>
      <c r="H536" s="8"/>
      <c r="I536" s="8"/>
      <c r="J536" s="8"/>
      <c r="K536" s="8"/>
      <c r="L536" s="8"/>
    </row>
    <row r="537" spans="7:12" x14ac:dyDescent="0.55000000000000004">
      <c r="G537" s="8"/>
      <c r="H537" s="8"/>
      <c r="I537" s="8"/>
      <c r="J537" s="8"/>
      <c r="K537" s="8"/>
      <c r="L537" s="8"/>
    </row>
    <row r="538" spans="7:12" x14ac:dyDescent="0.55000000000000004">
      <c r="G538" s="8"/>
      <c r="H538" s="8"/>
      <c r="I538" s="8"/>
      <c r="J538" s="8"/>
      <c r="K538" s="8"/>
      <c r="L538" s="8"/>
    </row>
    <row r="539" spans="7:12" x14ac:dyDescent="0.55000000000000004">
      <c r="G539" s="8"/>
      <c r="H539" s="8"/>
      <c r="I539" s="8"/>
      <c r="J539" s="8"/>
      <c r="K539" s="8"/>
      <c r="L539" s="8"/>
    </row>
    <row r="540" spans="7:12" x14ac:dyDescent="0.55000000000000004">
      <c r="G540" s="8"/>
      <c r="H540" s="8"/>
      <c r="I540" s="8"/>
      <c r="J540" s="8"/>
      <c r="K540" s="8"/>
      <c r="L540" s="8"/>
    </row>
    <row r="541" spans="7:12" x14ac:dyDescent="0.55000000000000004">
      <c r="G541" s="8"/>
      <c r="H541" s="8"/>
      <c r="I541" s="8"/>
      <c r="J541" s="8"/>
      <c r="K541" s="8"/>
      <c r="L541" s="8"/>
    </row>
    <row r="542" spans="7:12" x14ac:dyDescent="0.55000000000000004">
      <c r="G542" s="8"/>
      <c r="H542" s="8"/>
      <c r="I542" s="8"/>
      <c r="J542" s="8"/>
      <c r="K542" s="8"/>
      <c r="L542" s="8"/>
    </row>
    <row r="543" spans="7:12" x14ac:dyDescent="0.55000000000000004">
      <c r="G543" s="8"/>
      <c r="H543" s="8"/>
      <c r="I543" s="8"/>
      <c r="J543" s="8"/>
      <c r="K543" s="8"/>
      <c r="L543" s="8"/>
    </row>
    <row r="544" spans="7:12" x14ac:dyDescent="0.55000000000000004">
      <c r="G544" s="8"/>
      <c r="H544" s="8"/>
      <c r="I544" s="8"/>
      <c r="J544" s="8"/>
      <c r="K544" s="8"/>
      <c r="L544" s="8"/>
    </row>
    <row r="545" spans="7:12" x14ac:dyDescent="0.55000000000000004">
      <c r="G545" s="8"/>
      <c r="H545" s="8"/>
      <c r="I545" s="8"/>
      <c r="J545" s="8"/>
      <c r="K545" s="8"/>
      <c r="L545" s="8"/>
    </row>
    <row r="546" spans="7:12" x14ac:dyDescent="0.55000000000000004">
      <c r="G546" s="8"/>
      <c r="H546" s="8"/>
      <c r="I546" s="8"/>
      <c r="J546" s="8"/>
      <c r="K546" s="8"/>
      <c r="L546" s="8"/>
    </row>
    <row r="547" spans="7:12" x14ac:dyDescent="0.55000000000000004">
      <c r="G547" s="8"/>
      <c r="H547" s="8"/>
      <c r="I547" s="8"/>
      <c r="J547" s="8"/>
      <c r="K547" s="8"/>
      <c r="L547" s="8"/>
    </row>
    <row r="548" spans="7:12" x14ac:dyDescent="0.55000000000000004">
      <c r="G548" s="8"/>
      <c r="H548" s="8"/>
      <c r="I548" s="8"/>
      <c r="J548" s="8"/>
      <c r="K548" s="8"/>
      <c r="L548" s="8"/>
    </row>
    <row r="549" spans="7:12" x14ac:dyDescent="0.55000000000000004">
      <c r="G549" s="8"/>
      <c r="H549" s="8"/>
      <c r="I549" s="8"/>
      <c r="J549" s="8"/>
      <c r="K549" s="8"/>
      <c r="L549" s="8"/>
    </row>
    <row r="550" spans="7:12" x14ac:dyDescent="0.55000000000000004">
      <c r="G550" s="8"/>
      <c r="H550" s="8"/>
      <c r="I550" s="8"/>
      <c r="J550" s="8"/>
      <c r="K550" s="8"/>
      <c r="L550" s="8"/>
    </row>
    <row r="551" spans="7:12" x14ac:dyDescent="0.55000000000000004">
      <c r="G551" s="8"/>
      <c r="H551" s="8"/>
      <c r="I551" s="8"/>
      <c r="J551" s="8"/>
      <c r="K551" s="8"/>
      <c r="L551" s="8"/>
    </row>
    <row r="552" spans="7:12" x14ac:dyDescent="0.55000000000000004">
      <c r="G552" s="8"/>
      <c r="H552" s="8"/>
      <c r="I552" s="8"/>
      <c r="J552" s="8"/>
      <c r="K552" s="8"/>
      <c r="L552" s="8"/>
    </row>
    <row r="553" spans="7:12" x14ac:dyDescent="0.55000000000000004">
      <c r="G553" s="8"/>
      <c r="H553" s="8"/>
      <c r="I553" s="8"/>
      <c r="J553" s="8"/>
      <c r="K553" s="8"/>
      <c r="L553" s="8"/>
    </row>
    <row r="554" spans="7:12" x14ac:dyDescent="0.55000000000000004">
      <c r="G554" s="8"/>
      <c r="H554" s="8"/>
      <c r="I554" s="8"/>
      <c r="J554" s="8"/>
      <c r="K554" s="8"/>
      <c r="L554" s="8"/>
    </row>
    <row r="555" spans="7:12" x14ac:dyDescent="0.55000000000000004">
      <c r="G555" s="8"/>
      <c r="H555" s="8"/>
      <c r="I555" s="8"/>
      <c r="J555" s="8"/>
      <c r="K555" s="8"/>
      <c r="L555" s="8"/>
    </row>
    <row r="556" spans="7:12" x14ac:dyDescent="0.55000000000000004">
      <c r="G556" s="8"/>
      <c r="H556" s="8"/>
      <c r="I556" s="8"/>
      <c r="J556" s="8"/>
      <c r="K556" s="8"/>
      <c r="L556" s="8"/>
    </row>
    <row r="557" spans="7:12" x14ac:dyDescent="0.55000000000000004">
      <c r="G557" s="8"/>
      <c r="H557" s="8"/>
      <c r="I557" s="8"/>
      <c r="J557" s="8"/>
      <c r="K557" s="8"/>
      <c r="L557" s="8"/>
    </row>
    <row r="558" spans="7:12" x14ac:dyDescent="0.55000000000000004">
      <c r="G558" s="8"/>
      <c r="H558" s="8"/>
      <c r="I558" s="8"/>
      <c r="J558" s="8"/>
      <c r="K558" s="8"/>
      <c r="L558" s="8"/>
    </row>
    <row r="559" spans="7:12" x14ac:dyDescent="0.55000000000000004">
      <c r="G559" s="8"/>
      <c r="H559" s="8"/>
      <c r="I559" s="8"/>
      <c r="J559" s="8"/>
      <c r="K559" s="8"/>
      <c r="L559" s="8"/>
    </row>
    <row r="560" spans="7:12" x14ac:dyDescent="0.55000000000000004">
      <c r="G560" s="8"/>
      <c r="H560" s="8"/>
      <c r="I560" s="8"/>
      <c r="J560" s="8"/>
      <c r="K560" s="8"/>
      <c r="L560" s="8"/>
    </row>
    <row r="561" spans="7:12" x14ac:dyDescent="0.55000000000000004">
      <c r="G561" s="8"/>
      <c r="H561" s="8"/>
      <c r="I561" s="8"/>
      <c r="J561" s="8"/>
      <c r="K561" s="8"/>
      <c r="L561" s="8"/>
    </row>
    <row r="562" spans="7:12" x14ac:dyDescent="0.55000000000000004">
      <c r="G562" s="8"/>
      <c r="H562" s="8"/>
      <c r="I562" s="8"/>
      <c r="J562" s="8"/>
      <c r="K562" s="8"/>
      <c r="L562" s="8"/>
    </row>
    <row r="563" spans="7:12" x14ac:dyDescent="0.55000000000000004">
      <c r="G563" s="8"/>
      <c r="H563" s="8"/>
      <c r="I563" s="8"/>
      <c r="J563" s="8"/>
      <c r="K563" s="8"/>
      <c r="L563" s="8"/>
    </row>
    <row r="564" spans="7:12" x14ac:dyDescent="0.55000000000000004">
      <c r="G564" s="8"/>
      <c r="H564" s="8"/>
      <c r="I564" s="8"/>
      <c r="J564" s="8"/>
      <c r="K564" s="8"/>
      <c r="L564" s="8"/>
    </row>
    <row r="565" spans="7:12" x14ac:dyDescent="0.55000000000000004">
      <c r="G565" s="8"/>
      <c r="H565" s="8"/>
      <c r="I565" s="8"/>
      <c r="J565" s="8"/>
      <c r="K565" s="8"/>
      <c r="L565" s="8"/>
    </row>
    <row r="566" spans="7:12" x14ac:dyDescent="0.55000000000000004">
      <c r="G566" s="8"/>
      <c r="H566" s="8"/>
      <c r="I566" s="8"/>
      <c r="J566" s="8"/>
      <c r="K566" s="8"/>
      <c r="L566" s="8"/>
    </row>
    <row r="567" spans="7:12" x14ac:dyDescent="0.55000000000000004">
      <c r="G567" s="8"/>
      <c r="H567" s="8"/>
      <c r="I567" s="8"/>
      <c r="J567" s="8"/>
      <c r="K567" s="8"/>
      <c r="L567" s="8"/>
    </row>
    <row r="568" spans="7:12" x14ac:dyDescent="0.55000000000000004">
      <c r="G568" s="8"/>
      <c r="H568" s="8"/>
      <c r="I568" s="8"/>
      <c r="J568" s="8"/>
      <c r="K568" s="8"/>
      <c r="L568" s="8"/>
    </row>
    <row r="569" spans="7:12" x14ac:dyDescent="0.55000000000000004">
      <c r="G569" s="8"/>
      <c r="H569" s="8"/>
      <c r="I569" s="8"/>
      <c r="J569" s="8"/>
      <c r="K569" s="8"/>
      <c r="L569" s="8"/>
    </row>
    <row r="570" spans="7:12" x14ac:dyDescent="0.55000000000000004">
      <c r="G570" s="8"/>
      <c r="H570" s="8"/>
      <c r="I570" s="8"/>
      <c r="J570" s="8"/>
      <c r="K570" s="8"/>
      <c r="L570" s="8"/>
    </row>
    <row r="571" spans="7:12" x14ac:dyDescent="0.55000000000000004">
      <c r="G571" s="8"/>
      <c r="H571" s="8"/>
      <c r="I571" s="8"/>
      <c r="J571" s="8"/>
      <c r="K571" s="8"/>
      <c r="L571" s="8"/>
    </row>
    <row r="572" spans="7:12" x14ac:dyDescent="0.55000000000000004">
      <c r="G572" s="8"/>
      <c r="H572" s="8"/>
      <c r="I572" s="8"/>
      <c r="J572" s="8"/>
      <c r="K572" s="8"/>
      <c r="L572" s="8"/>
    </row>
    <row r="573" spans="7:12" x14ac:dyDescent="0.55000000000000004">
      <c r="G573" s="8"/>
      <c r="H573" s="8"/>
      <c r="I573" s="8"/>
      <c r="J573" s="8"/>
      <c r="K573" s="8"/>
      <c r="L573" s="8"/>
    </row>
    <row r="574" spans="7:12" x14ac:dyDescent="0.55000000000000004">
      <c r="G574" s="8"/>
      <c r="H574" s="8"/>
      <c r="I574" s="8"/>
      <c r="J574" s="8"/>
      <c r="K574" s="8"/>
      <c r="L574" s="8"/>
    </row>
    <row r="575" spans="7:12" x14ac:dyDescent="0.55000000000000004">
      <c r="G575" s="8"/>
      <c r="H575" s="8"/>
      <c r="I575" s="8"/>
      <c r="J575" s="8"/>
      <c r="K575" s="8"/>
      <c r="L575" s="8"/>
    </row>
    <row r="576" spans="7:12" x14ac:dyDescent="0.55000000000000004">
      <c r="G576" s="8"/>
      <c r="H576" s="8"/>
      <c r="I576" s="8"/>
      <c r="J576" s="8"/>
      <c r="K576" s="8"/>
      <c r="L576" s="8"/>
    </row>
    <row r="577" spans="7:12" x14ac:dyDescent="0.55000000000000004">
      <c r="G577" s="8"/>
      <c r="H577" s="8"/>
      <c r="I577" s="8"/>
      <c r="J577" s="8"/>
      <c r="K577" s="8"/>
      <c r="L577" s="8"/>
    </row>
    <row r="578" spans="7:12" x14ac:dyDescent="0.55000000000000004">
      <c r="G578" s="8"/>
      <c r="H578" s="8"/>
      <c r="I578" s="8"/>
      <c r="J578" s="8"/>
      <c r="K578" s="8"/>
      <c r="L578" s="8"/>
    </row>
    <row r="579" spans="7:12" x14ac:dyDescent="0.55000000000000004">
      <c r="G579" s="8"/>
      <c r="H579" s="8"/>
      <c r="I579" s="8"/>
      <c r="J579" s="8"/>
      <c r="K579" s="8"/>
      <c r="L579" s="8"/>
    </row>
    <row r="580" spans="7:12" x14ac:dyDescent="0.55000000000000004">
      <c r="G580" s="8"/>
      <c r="H580" s="8"/>
      <c r="I580" s="8"/>
      <c r="J580" s="8"/>
      <c r="K580" s="8"/>
      <c r="L580" s="8"/>
    </row>
    <row r="581" spans="7:12" x14ac:dyDescent="0.55000000000000004">
      <c r="G581" s="8"/>
      <c r="H581" s="8"/>
      <c r="I581" s="8"/>
      <c r="J581" s="8"/>
      <c r="K581" s="8"/>
      <c r="L581" s="8"/>
    </row>
    <row r="582" spans="7:12" x14ac:dyDescent="0.55000000000000004">
      <c r="G582" s="8"/>
      <c r="H582" s="8"/>
      <c r="I582" s="8"/>
      <c r="J582" s="8"/>
      <c r="K582" s="8"/>
      <c r="L582" s="8"/>
    </row>
    <row r="583" spans="7:12" x14ac:dyDescent="0.55000000000000004">
      <c r="G583" s="8"/>
      <c r="H583" s="8"/>
      <c r="I583" s="8"/>
      <c r="J583" s="8"/>
      <c r="K583" s="8"/>
      <c r="L583" s="8"/>
    </row>
    <row r="584" spans="7:12" x14ac:dyDescent="0.55000000000000004">
      <c r="G584" s="8"/>
      <c r="H584" s="8"/>
      <c r="I584" s="8"/>
      <c r="J584" s="8"/>
      <c r="K584" s="8"/>
      <c r="L584" s="8"/>
    </row>
    <row r="585" spans="7:12" x14ac:dyDescent="0.55000000000000004">
      <c r="G585" s="8"/>
      <c r="H585" s="8"/>
      <c r="I585" s="8"/>
      <c r="J585" s="8"/>
      <c r="K585" s="8"/>
      <c r="L585" s="8"/>
    </row>
    <row r="586" spans="7:12" x14ac:dyDescent="0.55000000000000004">
      <c r="G586" s="8"/>
      <c r="H586" s="8"/>
      <c r="I586" s="8"/>
      <c r="J586" s="8"/>
      <c r="K586" s="8"/>
      <c r="L586" s="8"/>
    </row>
    <row r="587" spans="7:12" x14ac:dyDescent="0.55000000000000004">
      <c r="G587" s="8"/>
      <c r="H587" s="8"/>
      <c r="I587" s="8"/>
      <c r="J587" s="8"/>
      <c r="K587" s="8"/>
      <c r="L587" s="8"/>
    </row>
    <row r="588" spans="7:12" x14ac:dyDescent="0.55000000000000004">
      <c r="G588" s="8"/>
      <c r="H588" s="8"/>
      <c r="I588" s="8"/>
      <c r="J588" s="8"/>
      <c r="K588" s="8"/>
      <c r="L588" s="8"/>
    </row>
    <row r="589" spans="7:12" x14ac:dyDescent="0.55000000000000004">
      <c r="G589" s="8"/>
      <c r="H589" s="8"/>
      <c r="I589" s="8"/>
      <c r="J589" s="8"/>
      <c r="K589" s="8"/>
      <c r="L589" s="8"/>
    </row>
    <row r="590" spans="7:12" x14ac:dyDescent="0.55000000000000004">
      <c r="G590" s="8"/>
      <c r="H590" s="8"/>
      <c r="I590" s="8"/>
      <c r="J590" s="8"/>
      <c r="K590" s="8"/>
      <c r="L590" s="8"/>
    </row>
    <row r="591" spans="7:12" x14ac:dyDescent="0.55000000000000004">
      <c r="G591" s="8"/>
      <c r="H591" s="8"/>
      <c r="I591" s="8"/>
      <c r="J591" s="8"/>
      <c r="K591" s="8"/>
      <c r="L591" s="8"/>
    </row>
    <row r="592" spans="7:12" x14ac:dyDescent="0.55000000000000004">
      <c r="G592" s="8"/>
      <c r="H592" s="8"/>
      <c r="I592" s="8"/>
      <c r="J592" s="8"/>
      <c r="K592" s="8"/>
      <c r="L592" s="8"/>
    </row>
    <row r="593" spans="7:12" x14ac:dyDescent="0.55000000000000004">
      <c r="G593" s="8"/>
      <c r="H593" s="8"/>
      <c r="I593" s="8"/>
      <c r="J593" s="8"/>
      <c r="K593" s="8"/>
      <c r="L593" s="8"/>
    </row>
    <row r="594" spans="7:12" x14ac:dyDescent="0.55000000000000004">
      <c r="G594" s="8"/>
      <c r="H594" s="8"/>
      <c r="I594" s="8"/>
      <c r="J594" s="8"/>
      <c r="K594" s="8"/>
      <c r="L594" s="8"/>
    </row>
    <row r="595" spans="7:12" x14ac:dyDescent="0.55000000000000004">
      <c r="G595" s="8"/>
      <c r="H595" s="8"/>
      <c r="I595" s="8"/>
      <c r="J595" s="8"/>
      <c r="K595" s="8"/>
      <c r="L595" s="8"/>
    </row>
    <row r="596" spans="7:12" x14ac:dyDescent="0.55000000000000004">
      <c r="G596" s="8"/>
      <c r="H596" s="8"/>
      <c r="I596" s="8"/>
      <c r="J596" s="8"/>
      <c r="K596" s="8"/>
      <c r="L596" s="8"/>
    </row>
    <row r="597" spans="7:12" x14ac:dyDescent="0.55000000000000004">
      <c r="G597" s="8"/>
      <c r="H597" s="8"/>
      <c r="I597" s="8"/>
      <c r="J597" s="8"/>
      <c r="K597" s="8"/>
      <c r="L597" s="8"/>
    </row>
    <row r="598" spans="7:12" x14ac:dyDescent="0.55000000000000004">
      <c r="G598" s="8"/>
      <c r="H598" s="8"/>
      <c r="I598" s="8"/>
      <c r="J598" s="8"/>
      <c r="K598" s="8"/>
      <c r="L598" s="8"/>
    </row>
    <row r="599" spans="7:12" x14ac:dyDescent="0.55000000000000004">
      <c r="G599" s="8"/>
      <c r="H599" s="8"/>
      <c r="I599" s="8"/>
      <c r="J599" s="8"/>
      <c r="K599" s="8"/>
      <c r="L599" s="8"/>
    </row>
    <row r="600" spans="7:12" x14ac:dyDescent="0.55000000000000004">
      <c r="G600" s="8"/>
      <c r="H600" s="8"/>
      <c r="I600" s="8"/>
      <c r="J600" s="8"/>
      <c r="K600" s="8"/>
      <c r="L600" s="8"/>
    </row>
    <row r="601" spans="7:12" x14ac:dyDescent="0.55000000000000004">
      <c r="G601" s="8"/>
      <c r="H601" s="8"/>
      <c r="I601" s="8"/>
      <c r="J601" s="8"/>
      <c r="K601" s="8"/>
      <c r="L601" s="8"/>
    </row>
    <row r="602" spans="7:12" x14ac:dyDescent="0.55000000000000004">
      <c r="G602" s="8"/>
      <c r="H602" s="8"/>
      <c r="I602" s="8"/>
      <c r="J602" s="8"/>
      <c r="K602" s="8"/>
      <c r="L602" s="8"/>
    </row>
    <row r="603" spans="7:12" x14ac:dyDescent="0.55000000000000004">
      <c r="G603" s="8"/>
      <c r="H603" s="8"/>
      <c r="I603" s="8"/>
      <c r="J603" s="8"/>
      <c r="K603" s="8"/>
      <c r="L603" s="8"/>
    </row>
    <row r="604" spans="7:12" x14ac:dyDescent="0.55000000000000004">
      <c r="G604" s="8"/>
      <c r="H604" s="8"/>
      <c r="I604" s="8"/>
      <c r="J604" s="8"/>
      <c r="K604" s="8"/>
      <c r="L604" s="8"/>
    </row>
    <row r="605" spans="7:12" x14ac:dyDescent="0.55000000000000004">
      <c r="G605" s="8"/>
      <c r="H605" s="8"/>
      <c r="I605" s="8"/>
      <c r="J605" s="8"/>
      <c r="K605" s="8"/>
      <c r="L605" s="8"/>
    </row>
    <row r="606" spans="7:12" x14ac:dyDescent="0.55000000000000004">
      <c r="G606" s="8"/>
      <c r="H606" s="8"/>
      <c r="I606" s="8"/>
      <c r="J606" s="8"/>
      <c r="K606" s="8"/>
      <c r="L606" s="8"/>
    </row>
    <row r="607" spans="7:12" x14ac:dyDescent="0.55000000000000004">
      <c r="G607" s="8"/>
      <c r="H607" s="8"/>
      <c r="I607" s="8"/>
      <c r="J607" s="8"/>
      <c r="K607" s="8"/>
      <c r="L607" s="8"/>
    </row>
    <row r="608" spans="7:12" x14ac:dyDescent="0.55000000000000004">
      <c r="G608" s="8"/>
      <c r="H608" s="8"/>
      <c r="I608" s="8"/>
      <c r="J608" s="8"/>
      <c r="K608" s="8"/>
      <c r="L608" s="8"/>
    </row>
    <row r="609" spans="7:12" x14ac:dyDescent="0.55000000000000004">
      <c r="G609" s="8"/>
      <c r="H609" s="8"/>
      <c r="I609" s="8"/>
      <c r="J609" s="8"/>
      <c r="K609" s="8"/>
      <c r="L609" s="8"/>
    </row>
    <row r="610" spans="7:12" x14ac:dyDescent="0.55000000000000004">
      <c r="G610" s="8"/>
      <c r="H610" s="8"/>
      <c r="I610" s="8"/>
      <c r="J610" s="8"/>
      <c r="K610" s="8"/>
      <c r="L610" s="8"/>
    </row>
    <row r="611" spans="7:12" x14ac:dyDescent="0.55000000000000004">
      <c r="G611" s="8"/>
      <c r="H611" s="8"/>
      <c r="I611" s="8"/>
      <c r="J611" s="8"/>
      <c r="K611" s="8"/>
      <c r="L611" s="8"/>
    </row>
    <row r="612" spans="7:12" x14ac:dyDescent="0.55000000000000004">
      <c r="G612" s="8"/>
      <c r="H612" s="8"/>
      <c r="I612" s="8"/>
      <c r="J612" s="8"/>
      <c r="K612" s="8"/>
      <c r="L612" s="8"/>
    </row>
    <row r="613" spans="7:12" x14ac:dyDescent="0.55000000000000004">
      <c r="G613" s="8"/>
      <c r="H613" s="8"/>
      <c r="I613" s="8"/>
      <c r="J613" s="8"/>
      <c r="K613" s="8"/>
      <c r="L613" s="8"/>
    </row>
    <row r="614" spans="7:12" x14ac:dyDescent="0.55000000000000004">
      <c r="G614" s="8"/>
      <c r="H614" s="8"/>
      <c r="I614" s="8"/>
      <c r="J614" s="8"/>
      <c r="K614" s="8"/>
      <c r="L614" s="8"/>
    </row>
    <row r="615" spans="7:12" x14ac:dyDescent="0.55000000000000004">
      <c r="G615" s="8"/>
      <c r="H615" s="8"/>
      <c r="I615" s="8"/>
      <c r="J615" s="8"/>
      <c r="K615" s="8"/>
      <c r="L615" s="8"/>
    </row>
    <row r="616" spans="7:12" x14ac:dyDescent="0.55000000000000004">
      <c r="G616" s="8"/>
      <c r="H616" s="8"/>
      <c r="I616" s="8"/>
      <c r="J616" s="8"/>
      <c r="K616" s="8"/>
      <c r="L616" s="8"/>
    </row>
    <row r="617" spans="7:12" x14ac:dyDescent="0.55000000000000004">
      <c r="G617" s="8"/>
      <c r="H617" s="8"/>
      <c r="I617" s="8"/>
      <c r="J617" s="8"/>
      <c r="K617" s="8"/>
      <c r="L617" s="8"/>
    </row>
    <row r="618" spans="7:12" x14ac:dyDescent="0.55000000000000004">
      <c r="G618" s="8"/>
      <c r="H618" s="8"/>
      <c r="I618" s="8"/>
      <c r="J618" s="8"/>
      <c r="K618" s="8"/>
      <c r="L618" s="8"/>
    </row>
    <row r="619" spans="7:12" x14ac:dyDescent="0.55000000000000004">
      <c r="G619" s="8"/>
      <c r="H619" s="8"/>
      <c r="I619" s="8"/>
      <c r="J619" s="8"/>
      <c r="K619" s="8"/>
      <c r="L619" s="8"/>
    </row>
    <row r="620" spans="7:12" x14ac:dyDescent="0.55000000000000004">
      <c r="G620" s="8"/>
      <c r="H620" s="8"/>
      <c r="I620" s="8"/>
      <c r="J620" s="8"/>
      <c r="K620" s="8"/>
      <c r="L620" s="8"/>
    </row>
    <row r="621" spans="7:12" x14ac:dyDescent="0.55000000000000004">
      <c r="G621" s="8"/>
      <c r="H621" s="8"/>
      <c r="I621" s="8"/>
      <c r="J621" s="8"/>
      <c r="K621" s="8"/>
      <c r="L621" s="8"/>
    </row>
    <row r="622" spans="7:12" x14ac:dyDescent="0.55000000000000004">
      <c r="G622" s="8"/>
      <c r="H622" s="8"/>
      <c r="I622" s="8"/>
      <c r="J622" s="8"/>
      <c r="K622" s="8"/>
      <c r="L622" s="8"/>
    </row>
    <row r="623" spans="7:12" x14ac:dyDescent="0.55000000000000004">
      <c r="G623" s="8"/>
      <c r="H623" s="8"/>
      <c r="I623" s="8"/>
      <c r="J623" s="8"/>
      <c r="K623" s="8"/>
      <c r="L623" s="8"/>
    </row>
    <row r="624" spans="7:12" x14ac:dyDescent="0.55000000000000004">
      <c r="G624" s="8"/>
      <c r="H624" s="8"/>
      <c r="I624" s="8"/>
      <c r="J624" s="8"/>
      <c r="K624" s="8"/>
      <c r="L624" s="8"/>
    </row>
    <row r="625" spans="7:12" x14ac:dyDescent="0.55000000000000004">
      <c r="G625" s="8"/>
      <c r="H625" s="8"/>
      <c r="I625" s="8"/>
      <c r="J625" s="8"/>
      <c r="K625" s="8"/>
      <c r="L625" s="8"/>
    </row>
    <row r="626" spans="7:12" x14ac:dyDescent="0.55000000000000004">
      <c r="G626" s="8"/>
      <c r="H626" s="8"/>
      <c r="I626" s="8"/>
      <c r="J626" s="8"/>
      <c r="K626" s="8"/>
      <c r="L626" s="8"/>
    </row>
    <row r="627" spans="7:12" x14ac:dyDescent="0.55000000000000004">
      <c r="G627" s="8"/>
      <c r="H627" s="8"/>
      <c r="I627" s="8"/>
      <c r="J627" s="8"/>
      <c r="K627" s="8"/>
      <c r="L627" s="8"/>
    </row>
    <row r="628" spans="7:12" x14ac:dyDescent="0.55000000000000004">
      <c r="G628" s="8"/>
      <c r="H628" s="8"/>
      <c r="I628" s="8"/>
      <c r="J628" s="8"/>
      <c r="K628" s="8"/>
      <c r="L628" s="8"/>
    </row>
    <row r="629" spans="7:12" x14ac:dyDescent="0.55000000000000004">
      <c r="G629" s="8"/>
      <c r="H629" s="8"/>
      <c r="I629" s="8"/>
      <c r="J629" s="8"/>
      <c r="K629" s="8"/>
      <c r="L629" s="8"/>
    </row>
    <row r="630" spans="7:12" x14ac:dyDescent="0.55000000000000004">
      <c r="G630" s="8"/>
      <c r="H630" s="8"/>
      <c r="I630" s="8"/>
      <c r="J630" s="8"/>
      <c r="K630" s="8"/>
      <c r="L630" s="8"/>
    </row>
    <row r="631" spans="7:12" x14ac:dyDescent="0.55000000000000004">
      <c r="G631" s="8"/>
      <c r="H631" s="8"/>
      <c r="I631" s="8"/>
      <c r="J631" s="8"/>
      <c r="K631" s="8"/>
      <c r="L631" s="8"/>
    </row>
    <row r="632" spans="7:12" x14ac:dyDescent="0.55000000000000004">
      <c r="G632" s="8"/>
      <c r="H632" s="8"/>
      <c r="I632" s="8"/>
      <c r="J632" s="8"/>
      <c r="K632" s="8"/>
      <c r="L632" s="8"/>
    </row>
    <row r="633" spans="7:12" x14ac:dyDescent="0.55000000000000004">
      <c r="G633" s="8"/>
      <c r="H633" s="8"/>
      <c r="I633" s="8"/>
      <c r="J633" s="8"/>
      <c r="K633" s="8"/>
      <c r="L633" s="8"/>
    </row>
    <row r="634" spans="7:12" x14ac:dyDescent="0.55000000000000004">
      <c r="G634" s="8"/>
      <c r="H634" s="8"/>
      <c r="I634" s="8"/>
      <c r="J634" s="8"/>
      <c r="K634" s="8"/>
      <c r="L634" s="8"/>
    </row>
    <row r="635" spans="7:12" x14ac:dyDescent="0.55000000000000004">
      <c r="G635" s="8"/>
      <c r="H635" s="8"/>
      <c r="I635" s="8"/>
      <c r="J635" s="8"/>
      <c r="K635" s="8"/>
      <c r="L635" s="8"/>
    </row>
    <row r="636" spans="7:12" x14ac:dyDescent="0.55000000000000004">
      <c r="G636" s="8"/>
      <c r="H636" s="8"/>
      <c r="I636" s="8"/>
      <c r="J636" s="8"/>
      <c r="K636" s="8"/>
      <c r="L636" s="8"/>
    </row>
    <row r="637" spans="7:12" x14ac:dyDescent="0.55000000000000004">
      <c r="G637" s="8"/>
      <c r="H637" s="8"/>
      <c r="I637" s="8"/>
      <c r="J637" s="8"/>
      <c r="K637" s="8"/>
      <c r="L637" s="8"/>
    </row>
    <row r="638" spans="7:12" x14ac:dyDescent="0.55000000000000004">
      <c r="G638" s="8"/>
      <c r="H638" s="8"/>
      <c r="I638" s="8"/>
      <c r="J638" s="8"/>
      <c r="K638" s="8"/>
      <c r="L638" s="8"/>
    </row>
    <row r="639" spans="7:12" x14ac:dyDescent="0.55000000000000004">
      <c r="G639" s="8"/>
      <c r="H639" s="8"/>
      <c r="I639" s="8"/>
      <c r="J639" s="8"/>
      <c r="K639" s="8"/>
      <c r="L639" s="8"/>
    </row>
    <row r="640" spans="7:12" x14ac:dyDescent="0.55000000000000004">
      <c r="G640" s="8"/>
      <c r="H640" s="8"/>
      <c r="I640" s="8"/>
      <c r="J640" s="8"/>
      <c r="K640" s="8"/>
      <c r="L640" s="8"/>
    </row>
    <row r="641" spans="7:12" x14ac:dyDescent="0.55000000000000004">
      <c r="G641" s="8"/>
      <c r="H641" s="8"/>
      <c r="I641" s="8"/>
      <c r="J641" s="8"/>
      <c r="K641" s="8"/>
      <c r="L641" s="8"/>
    </row>
    <row r="642" spans="7:12" x14ac:dyDescent="0.55000000000000004">
      <c r="G642" s="8"/>
      <c r="H642" s="8"/>
      <c r="I642" s="8"/>
      <c r="J642" s="8"/>
      <c r="K642" s="8"/>
      <c r="L642" s="8"/>
    </row>
    <row r="643" spans="7:12" x14ac:dyDescent="0.55000000000000004">
      <c r="G643" s="8"/>
      <c r="H643" s="8"/>
      <c r="I643" s="8"/>
      <c r="J643" s="8"/>
      <c r="K643" s="8"/>
      <c r="L643" s="8"/>
    </row>
    <row r="644" spans="7:12" x14ac:dyDescent="0.55000000000000004">
      <c r="G644" s="8"/>
      <c r="H644" s="8"/>
      <c r="I644" s="8"/>
      <c r="J644" s="8"/>
      <c r="K644" s="8"/>
      <c r="L644" s="8"/>
    </row>
    <row r="645" spans="7:12" x14ac:dyDescent="0.55000000000000004">
      <c r="G645" s="8"/>
      <c r="H645" s="8"/>
      <c r="I645" s="8"/>
      <c r="J645" s="8"/>
      <c r="K645" s="8"/>
      <c r="L645" s="8"/>
    </row>
    <row r="646" spans="7:12" x14ac:dyDescent="0.55000000000000004">
      <c r="G646" s="8"/>
      <c r="H646" s="8"/>
      <c r="I646" s="8"/>
      <c r="J646" s="8"/>
      <c r="K646" s="8"/>
      <c r="L646" s="8"/>
    </row>
    <row r="647" spans="7:12" x14ac:dyDescent="0.55000000000000004">
      <c r="G647" s="8"/>
      <c r="H647" s="8"/>
      <c r="I647" s="8"/>
      <c r="J647" s="8"/>
      <c r="K647" s="8"/>
      <c r="L647" s="8"/>
    </row>
    <row r="648" spans="7:12" x14ac:dyDescent="0.55000000000000004">
      <c r="G648" s="8"/>
      <c r="H648" s="8"/>
      <c r="I648" s="8"/>
      <c r="J648" s="8"/>
      <c r="K648" s="8"/>
      <c r="L648" s="8"/>
    </row>
    <row r="649" spans="7:12" x14ac:dyDescent="0.55000000000000004">
      <c r="G649" s="8"/>
      <c r="H649" s="8"/>
      <c r="I649" s="8"/>
      <c r="J649" s="8"/>
      <c r="K649" s="8"/>
      <c r="L649" s="8"/>
    </row>
    <row r="650" spans="7:12" x14ac:dyDescent="0.55000000000000004">
      <c r="G650" s="8"/>
      <c r="H650" s="8"/>
      <c r="I650" s="8"/>
      <c r="J650" s="8"/>
      <c r="K650" s="8"/>
      <c r="L650" s="8"/>
    </row>
    <row r="651" spans="7:12" x14ac:dyDescent="0.55000000000000004">
      <c r="G651" s="8"/>
      <c r="H651" s="8"/>
      <c r="I651" s="8"/>
      <c r="J651" s="8"/>
      <c r="K651" s="8"/>
      <c r="L651" s="8"/>
    </row>
    <row r="652" spans="7:12" x14ac:dyDescent="0.55000000000000004">
      <c r="G652" s="8"/>
      <c r="H652" s="8"/>
      <c r="I652" s="8"/>
      <c r="J652" s="8"/>
      <c r="K652" s="8"/>
      <c r="L652" s="8"/>
    </row>
    <row r="653" spans="7:12" x14ac:dyDescent="0.55000000000000004">
      <c r="G653" s="8"/>
      <c r="H653" s="8"/>
      <c r="I653" s="8"/>
      <c r="J653" s="8"/>
      <c r="K653" s="8"/>
      <c r="L653" s="8"/>
    </row>
    <row r="654" spans="7:12" x14ac:dyDescent="0.55000000000000004">
      <c r="G654" s="8"/>
      <c r="H654" s="8"/>
      <c r="I654" s="8"/>
      <c r="J654" s="8"/>
      <c r="K654" s="8"/>
      <c r="L654" s="8"/>
    </row>
    <row r="655" spans="7:12" x14ac:dyDescent="0.55000000000000004">
      <c r="G655" s="8"/>
      <c r="H655" s="8"/>
      <c r="I655" s="8"/>
      <c r="J655" s="8"/>
      <c r="K655" s="8"/>
      <c r="L655" s="8"/>
    </row>
    <row r="656" spans="7:12" x14ac:dyDescent="0.55000000000000004">
      <c r="G656" s="8"/>
      <c r="H656" s="8"/>
      <c r="I656" s="8"/>
      <c r="J656" s="8"/>
      <c r="K656" s="8"/>
      <c r="L656" s="8"/>
    </row>
    <row r="657" spans="7:12" x14ac:dyDescent="0.55000000000000004">
      <c r="G657" s="8"/>
      <c r="H657" s="8"/>
      <c r="I657" s="8"/>
      <c r="J657" s="8"/>
      <c r="K657" s="8"/>
      <c r="L657" s="8"/>
    </row>
    <row r="658" spans="7:12" x14ac:dyDescent="0.55000000000000004">
      <c r="G658" s="8"/>
      <c r="H658" s="8"/>
      <c r="I658" s="8"/>
      <c r="J658" s="8"/>
      <c r="K658" s="8"/>
      <c r="L658" s="8"/>
    </row>
    <row r="659" spans="7:12" x14ac:dyDescent="0.55000000000000004">
      <c r="G659" s="8"/>
      <c r="H659" s="8"/>
      <c r="I659" s="8"/>
      <c r="J659" s="8"/>
      <c r="K659" s="8"/>
      <c r="L659" s="8"/>
    </row>
    <row r="660" spans="7:12" x14ac:dyDescent="0.55000000000000004">
      <c r="G660" s="8"/>
      <c r="H660" s="8"/>
      <c r="I660" s="8"/>
      <c r="J660" s="8"/>
      <c r="K660" s="8"/>
      <c r="L660" s="8"/>
    </row>
    <row r="661" spans="7:12" x14ac:dyDescent="0.55000000000000004">
      <c r="G661" s="8"/>
      <c r="H661" s="8"/>
      <c r="I661" s="8"/>
      <c r="J661" s="8"/>
      <c r="K661" s="8"/>
      <c r="L661" s="8"/>
    </row>
    <row r="662" spans="7:12" x14ac:dyDescent="0.55000000000000004">
      <c r="G662" s="8"/>
      <c r="H662" s="8"/>
      <c r="I662" s="8"/>
      <c r="J662" s="8"/>
      <c r="K662" s="8"/>
      <c r="L662" s="8"/>
    </row>
    <row r="663" spans="7:12" x14ac:dyDescent="0.55000000000000004">
      <c r="G663" s="8"/>
      <c r="H663" s="8"/>
      <c r="I663" s="8"/>
      <c r="J663" s="8"/>
      <c r="K663" s="8"/>
      <c r="L663" s="8"/>
    </row>
    <row r="664" spans="7:12" x14ac:dyDescent="0.55000000000000004">
      <c r="G664" s="8"/>
      <c r="H664" s="8"/>
      <c r="I664" s="8"/>
      <c r="J664" s="8"/>
      <c r="K664" s="8"/>
      <c r="L664" s="8"/>
    </row>
    <row r="665" spans="7:12" x14ac:dyDescent="0.55000000000000004">
      <c r="G665" s="8"/>
      <c r="H665" s="8"/>
      <c r="I665" s="8"/>
      <c r="J665" s="8"/>
      <c r="K665" s="8"/>
      <c r="L665" s="8"/>
    </row>
    <row r="666" spans="7:12" x14ac:dyDescent="0.55000000000000004">
      <c r="G666" s="8"/>
      <c r="H666" s="8"/>
      <c r="I666" s="8"/>
      <c r="J666" s="8"/>
      <c r="K666" s="8"/>
      <c r="L666" s="8"/>
    </row>
    <row r="667" spans="7:12" x14ac:dyDescent="0.55000000000000004">
      <c r="G667" s="8"/>
      <c r="H667" s="8"/>
      <c r="I667" s="8"/>
      <c r="J667" s="8"/>
      <c r="K667" s="8"/>
      <c r="L667" s="8"/>
    </row>
    <row r="668" spans="7:12" x14ac:dyDescent="0.55000000000000004">
      <c r="G668" s="8"/>
      <c r="H668" s="8"/>
      <c r="I668" s="8"/>
      <c r="J668" s="8"/>
      <c r="K668" s="8"/>
      <c r="L668" s="8"/>
    </row>
    <row r="669" spans="7:12" x14ac:dyDescent="0.55000000000000004">
      <c r="G669" s="8"/>
      <c r="H669" s="8"/>
      <c r="I669" s="8"/>
      <c r="J669" s="8"/>
      <c r="K669" s="8"/>
      <c r="L669" s="8"/>
    </row>
    <row r="670" spans="7:12" x14ac:dyDescent="0.55000000000000004">
      <c r="G670" s="8"/>
      <c r="H670" s="8"/>
      <c r="I670" s="8"/>
      <c r="J670" s="8"/>
      <c r="K670" s="8"/>
      <c r="L670" s="8"/>
    </row>
    <row r="671" spans="7:12" x14ac:dyDescent="0.55000000000000004">
      <c r="G671" s="8"/>
      <c r="H671" s="8"/>
      <c r="I671" s="8"/>
      <c r="J671" s="8"/>
      <c r="K671" s="8"/>
      <c r="L671" s="8"/>
    </row>
    <row r="672" spans="7:12" x14ac:dyDescent="0.55000000000000004">
      <c r="G672" s="8"/>
      <c r="H672" s="8"/>
      <c r="I672" s="8"/>
      <c r="J672" s="8"/>
      <c r="K672" s="8"/>
      <c r="L672" s="8"/>
    </row>
    <row r="673" spans="7:12" x14ac:dyDescent="0.55000000000000004">
      <c r="G673" s="8"/>
      <c r="H673" s="8"/>
      <c r="I673" s="8"/>
      <c r="J673" s="8"/>
      <c r="K673" s="8"/>
      <c r="L673" s="8"/>
    </row>
    <row r="674" spans="7:12" x14ac:dyDescent="0.55000000000000004">
      <c r="G674" s="8"/>
      <c r="H674" s="8"/>
      <c r="I674" s="8"/>
      <c r="J674" s="8"/>
      <c r="K674" s="8"/>
      <c r="L674" s="8"/>
    </row>
    <row r="675" spans="7:12" x14ac:dyDescent="0.55000000000000004">
      <c r="G675" s="8"/>
      <c r="H675" s="8"/>
      <c r="I675" s="8"/>
      <c r="J675" s="8"/>
      <c r="K675" s="8"/>
      <c r="L675" s="8"/>
    </row>
    <row r="676" spans="7:12" x14ac:dyDescent="0.55000000000000004">
      <c r="G676" s="8"/>
      <c r="H676" s="8"/>
      <c r="I676" s="8"/>
      <c r="J676" s="8"/>
      <c r="K676" s="8"/>
      <c r="L676" s="8"/>
    </row>
    <row r="677" spans="7:12" x14ac:dyDescent="0.55000000000000004">
      <c r="G677" s="8"/>
      <c r="H677" s="8"/>
      <c r="I677" s="8"/>
      <c r="J677" s="8"/>
      <c r="K677" s="8"/>
      <c r="L677" s="8"/>
    </row>
    <row r="678" spans="7:12" x14ac:dyDescent="0.55000000000000004">
      <c r="G678" s="8"/>
      <c r="H678" s="8"/>
      <c r="I678" s="8"/>
      <c r="J678" s="8"/>
      <c r="K678" s="8"/>
      <c r="L678" s="8"/>
    </row>
    <row r="679" spans="7:12" x14ac:dyDescent="0.55000000000000004">
      <c r="G679" s="8"/>
      <c r="H679" s="8"/>
      <c r="I679" s="8"/>
      <c r="J679" s="8"/>
      <c r="K679" s="8"/>
      <c r="L679" s="8"/>
    </row>
    <row r="680" spans="7:12" x14ac:dyDescent="0.55000000000000004">
      <c r="G680" s="8"/>
      <c r="H680" s="8"/>
      <c r="I680" s="8"/>
      <c r="J680" s="8"/>
      <c r="K680" s="8"/>
      <c r="L680" s="8"/>
    </row>
    <row r="681" spans="7:12" x14ac:dyDescent="0.55000000000000004">
      <c r="G681" s="8"/>
      <c r="H681" s="8"/>
      <c r="I681" s="8"/>
      <c r="J681" s="8"/>
      <c r="K681" s="8"/>
      <c r="L681" s="8"/>
    </row>
    <row r="682" spans="7:12" x14ac:dyDescent="0.55000000000000004">
      <c r="G682" s="8"/>
      <c r="H682" s="8"/>
      <c r="I682" s="8"/>
      <c r="J682" s="8"/>
      <c r="K682" s="8"/>
      <c r="L682" s="8"/>
    </row>
    <row r="683" spans="7:12" x14ac:dyDescent="0.55000000000000004">
      <c r="G683" s="8"/>
      <c r="H683" s="8"/>
      <c r="I683" s="8"/>
      <c r="J683" s="8"/>
      <c r="K683" s="8"/>
      <c r="L683" s="8"/>
    </row>
    <row r="684" spans="7:12" x14ac:dyDescent="0.55000000000000004">
      <c r="G684" s="8"/>
      <c r="H684" s="8"/>
      <c r="I684" s="8"/>
      <c r="J684" s="8"/>
      <c r="K684" s="8"/>
      <c r="L684" s="8"/>
    </row>
    <row r="685" spans="7:12" x14ac:dyDescent="0.55000000000000004">
      <c r="G685" s="8"/>
      <c r="H685" s="8"/>
      <c r="I685" s="8"/>
      <c r="J685" s="8"/>
      <c r="K685" s="8"/>
      <c r="L685" s="8"/>
    </row>
    <row r="686" spans="7:12" x14ac:dyDescent="0.55000000000000004">
      <c r="G686" s="8"/>
      <c r="H686" s="8"/>
      <c r="I686" s="8"/>
      <c r="J686" s="8"/>
      <c r="K686" s="8"/>
      <c r="L686" s="8"/>
    </row>
    <row r="687" spans="7:12" x14ac:dyDescent="0.55000000000000004">
      <c r="G687" s="8"/>
      <c r="H687" s="8"/>
      <c r="I687" s="8"/>
      <c r="J687" s="8"/>
      <c r="K687" s="8"/>
      <c r="L687" s="8"/>
    </row>
    <row r="688" spans="7:12" x14ac:dyDescent="0.55000000000000004">
      <c r="G688" s="8"/>
      <c r="H688" s="8"/>
      <c r="I688" s="8"/>
      <c r="J688" s="8"/>
      <c r="K688" s="8"/>
      <c r="L688" s="8"/>
    </row>
    <row r="689" spans="7:12" x14ac:dyDescent="0.55000000000000004">
      <c r="G689" s="8"/>
      <c r="H689" s="8"/>
      <c r="I689" s="8"/>
      <c r="J689" s="8"/>
      <c r="K689" s="8"/>
      <c r="L689" s="8"/>
    </row>
    <row r="690" spans="7:12" x14ac:dyDescent="0.55000000000000004">
      <c r="G690" s="8"/>
      <c r="H690" s="8"/>
      <c r="I690" s="8"/>
      <c r="J690" s="8"/>
      <c r="K690" s="8"/>
      <c r="L690" s="8"/>
    </row>
    <row r="691" spans="7:12" x14ac:dyDescent="0.55000000000000004">
      <c r="G691" s="8"/>
      <c r="H691" s="8"/>
      <c r="I691" s="8"/>
      <c r="J691" s="8"/>
      <c r="K691" s="8"/>
      <c r="L691" s="8"/>
    </row>
    <row r="692" spans="7:12" x14ac:dyDescent="0.55000000000000004">
      <c r="G692" s="8"/>
      <c r="H692" s="8"/>
      <c r="I692" s="8"/>
      <c r="J692" s="8"/>
      <c r="K692" s="8"/>
      <c r="L692" s="8"/>
    </row>
    <row r="693" spans="7:12" x14ac:dyDescent="0.55000000000000004">
      <c r="G693" s="8"/>
      <c r="H693" s="8"/>
      <c r="I693" s="8"/>
      <c r="J693" s="8"/>
      <c r="K693" s="8"/>
      <c r="L693" s="8"/>
    </row>
    <row r="694" spans="7:12" x14ac:dyDescent="0.55000000000000004">
      <c r="G694" s="8"/>
      <c r="H694" s="8"/>
      <c r="I694" s="8"/>
      <c r="J694" s="8"/>
      <c r="K694" s="8"/>
      <c r="L694" s="8"/>
    </row>
    <row r="695" spans="7:12" x14ac:dyDescent="0.55000000000000004">
      <c r="G695" s="8"/>
      <c r="H695" s="8"/>
      <c r="I695" s="8"/>
      <c r="J695" s="8"/>
      <c r="K695" s="8"/>
      <c r="L695" s="8"/>
    </row>
    <row r="696" spans="7:12" x14ac:dyDescent="0.55000000000000004">
      <c r="G696" s="8"/>
      <c r="H696" s="8"/>
      <c r="I696" s="8"/>
      <c r="J696" s="8"/>
      <c r="K696" s="8"/>
      <c r="L696" s="8"/>
    </row>
    <row r="697" spans="7:12" x14ac:dyDescent="0.55000000000000004">
      <c r="G697" s="8"/>
      <c r="H697" s="8"/>
      <c r="I697" s="8"/>
      <c r="J697" s="8"/>
      <c r="K697" s="8"/>
      <c r="L697" s="8"/>
    </row>
    <row r="698" spans="7:12" x14ac:dyDescent="0.55000000000000004">
      <c r="G698" s="8"/>
      <c r="H698" s="8"/>
      <c r="I698" s="8"/>
      <c r="J698" s="8"/>
      <c r="K698" s="8"/>
      <c r="L698" s="8"/>
    </row>
    <row r="699" spans="7:12" x14ac:dyDescent="0.55000000000000004">
      <c r="G699" s="8"/>
      <c r="H699" s="8"/>
      <c r="I699" s="8"/>
      <c r="J699" s="8"/>
      <c r="K699" s="8"/>
      <c r="L699" s="8"/>
    </row>
    <row r="700" spans="7:12" x14ac:dyDescent="0.55000000000000004">
      <c r="G700" s="8"/>
      <c r="H700" s="8"/>
      <c r="I700" s="8"/>
      <c r="J700" s="8"/>
      <c r="K700" s="8"/>
      <c r="L700" s="8"/>
    </row>
    <row r="701" spans="7:12" x14ac:dyDescent="0.55000000000000004">
      <c r="G701" s="8"/>
      <c r="H701" s="8"/>
      <c r="I701" s="8"/>
      <c r="J701" s="8"/>
      <c r="K701" s="8"/>
      <c r="L701" s="8"/>
    </row>
    <row r="702" spans="7:12" x14ac:dyDescent="0.55000000000000004">
      <c r="G702" s="8"/>
      <c r="H702" s="8"/>
      <c r="I702" s="8"/>
      <c r="J702" s="8"/>
      <c r="K702" s="8"/>
      <c r="L702" s="8"/>
    </row>
    <row r="703" spans="7:12" x14ac:dyDescent="0.55000000000000004">
      <c r="G703" s="8"/>
      <c r="H703" s="8"/>
      <c r="I703" s="8"/>
      <c r="J703" s="8"/>
      <c r="K703" s="8"/>
      <c r="L703" s="8"/>
    </row>
    <row r="704" spans="7:12" x14ac:dyDescent="0.55000000000000004">
      <c r="G704" s="8"/>
      <c r="H704" s="8"/>
      <c r="I704" s="8"/>
      <c r="J704" s="8"/>
      <c r="K704" s="8"/>
      <c r="L704" s="8"/>
    </row>
    <row r="705" spans="7:12" x14ac:dyDescent="0.55000000000000004">
      <c r="G705" s="8"/>
      <c r="H705" s="8"/>
      <c r="I705" s="8"/>
      <c r="J705" s="8"/>
      <c r="K705" s="8"/>
      <c r="L705" s="8"/>
    </row>
    <row r="706" spans="7:12" x14ac:dyDescent="0.55000000000000004">
      <c r="G706" s="8"/>
      <c r="H706" s="8"/>
      <c r="I706" s="8"/>
      <c r="J706" s="8"/>
      <c r="K706" s="8"/>
      <c r="L706" s="8"/>
    </row>
    <row r="707" spans="7:12" x14ac:dyDescent="0.55000000000000004">
      <c r="G707" s="8"/>
      <c r="H707" s="8"/>
      <c r="I707" s="8"/>
      <c r="J707" s="8"/>
      <c r="K707" s="8"/>
      <c r="L707" s="8"/>
    </row>
    <row r="708" spans="7:12" x14ac:dyDescent="0.55000000000000004">
      <c r="G708" s="8"/>
      <c r="H708" s="8"/>
      <c r="I708" s="8"/>
      <c r="J708" s="8"/>
      <c r="K708" s="8"/>
      <c r="L708" s="8"/>
    </row>
    <row r="709" spans="7:12" x14ac:dyDescent="0.55000000000000004">
      <c r="G709" s="8"/>
      <c r="H709" s="8"/>
      <c r="I709" s="8"/>
      <c r="J709" s="8"/>
      <c r="K709" s="8"/>
      <c r="L709" s="8"/>
    </row>
    <row r="710" spans="7:12" x14ac:dyDescent="0.55000000000000004">
      <c r="G710" s="8"/>
      <c r="H710" s="8"/>
      <c r="I710" s="8"/>
      <c r="J710" s="8"/>
      <c r="K710" s="8"/>
      <c r="L710" s="8"/>
    </row>
    <row r="711" spans="7:12" x14ac:dyDescent="0.55000000000000004">
      <c r="G711" s="8"/>
      <c r="H711" s="8"/>
      <c r="I711" s="8"/>
      <c r="J711" s="8"/>
      <c r="K711" s="8"/>
      <c r="L711" s="8"/>
    </row>
    <row r="712" spans="7:12" x14ac:dyDescent="0.55000000000000004">
      <c r="G712" s="8"/>
      <c r="H712" s="8"/>
      <c r="I712" s="8"/>
      <c r="J712" s="8"/>
      <c r="K712" s="8"/>
      <c r="L712" s="8"/>
    </row>
    <row r="713" spans="7:12" x14ac:dyDescent="0.55000000000000004">
      <c r="G713" s="8"/>
      <c r="H713" s="8"/>
      <c r="I713" s="8"/>
      <c r="J713" s="8"/>
      <c r="K713" s="8"/>
      <c r="L713" s="8"/>
    </row>
    <row r="714" spans="7:12" x14ac:dyDescent="0.55000000000000004">
      <c r="G714" s="8"/>
      <c r="H714" s="8"/>
      <c r="I714" s="8"/>
      <c r="J714" s="8"/>
      <c r="K714" s="8"/>
      <c r="L714" s="8"/>
    </row>
    <row r="715" spans="7:12" x14ac:dyDescent="0.55000000000000004">
      <c r="G715" s="8"/>
      <c r="H715" s="8"/>
      <c r="I715" s="8"/>
      <c r="J715" s="8"/>
      <c r="K715" s="8"/>
      <c r="L715" s="8"/>
    </row>
    <row r="716" spans="7:12" x14ac:dyDescent="0.55000000000000004">
      <c r="G716" s="8"/>
      <c r="H716" s="8"/>
      <c r="I716" s="8"/>
      <c r="J716" s="8"/>
      <c r="K716" s="8"/>
      <c r="L716" s="8"/>
    </row>
    <row r="717" spans="7:12" x14ac:dyDescent="0.55000000000000004">
      <c r="G717" s="8"/>
      <c r="H717" s="8"/>
      <c r="I717" s="8"/>
      <c r="J717" s="8"/>
      <c r="K717" s="8"/>
      <c r="L717" s="8"/>
    </row>
    <row r="718" spans="7:12" x14ac:dyDescent="0.55000000000000004">
      <c r="G718" s="8"/>
      <c r="H718" s="8"/>
      <c r="I718" s="8"/>
      <c r="J718" s="8"/>
      <c r="K718" s="8"/>
      <c r="L718" s="8"/>
    </row>
    <row r="719" spans="7:12" x14ac:dyDescent="0.55000000000000004">
      <c r="G719" s="8"/>
      <c r="H719" s="8"/>
      <c r="I719" s="8"/>
      <c r="J719" s="8"/>
      <c r="K719" s="8"/>
      <c r="L719" s="8"/>
    </row>
    <row r="720" spans="7:12" x14ac:dyDescent="0.55000000000000004">
      <c r="G720" s="8"/>
      <c r="H720" s="8"/>
      <c r="I720" s="8"/>
      <c r="J720" s="8"/>
      <c r="K720" s="8"/>
      <c r="L720" s="8"/>
    </row>
    <row r="721" spans="7:12" x14ac:dyDescent="0.55000000000000004">
      <c r="G721" s="8"/>
      <c r="H721" s="8"/>
      <c r="I721" s="8"/>
      <c r="J721" s="8"/>
      <c r="K721" s="8"/>
      <c r="L721" s="8"/>
    </row>
    <row r="722" spans="7:12" x14ac:dyDescent="0.55000000000000004">
      <c r="G722" s="8"/>
      <c r="H722" s="8"/>
      <c r="I722" s="8"/>
      <c r="J722" s="8"/>
      <c r="K722" s="8"/>
      <c r="L722" s="8"/>
    </row>
    <row r="723" spans="7:12" x14ac:dyDescent="0.55000000000000004">
      <c r="G723" s="8"/>
      <c r="H723" s="8"/>
      <c r="I723" s="8"/>
      <c r="J723" s="8"/>
      <c r="K723" s="8"/>
      <c r="L723" s="8"/>
    </row>
    <row r="724" spans="7:12" x14ac:dyDescent="0.55000000000000004">
      <c r="G724" s="8"/>
      <c r="H724" s="8"/>
      <c r="I724" s="8"/>
      <c r="J724" s="8"/>
      <c r="K724" s="8"/>
      <c r="L724" s="8"/>
    </row>
    <row r="725" spans="7:12" x14ac:dyDescent="0.55000000000000004">
      <c r="G725" s="8"/>
      <c r="H725" s="8"/>
      <c r="I725" s="8"/>
      <c r="J725" s="8"/>
      <c r="K725" s="8"/>
      <c r="L725" s="8"/>
    </row>
    <row r="726" spans="7:12" x14ac:dyDescent="0.55000000000000004">
      <c r="G726" s="8"/>
      <c r="H726" s="8"/>
      <c r="I726" s="8"/>
      <c r="J726" s="8"/>
      <c r="K726" s="8"/>
      <c r="L726" s="8"/>
    </row>
    <row r="727" spans="7:12" x14ac:dyDescent="0.55000000000000004">
      <c r="G727" s="8"/>
      <c r="H727" s="8"/>
      <c r="I727" s="8"/>
      <c r="J727" s="8"/>
      <c r="K727" s="8"/>
      <c r="L727" s="8"/>
    </row>
    <row r="728" spans="7:12" x14ac:dyDescent="0.55000000000000004">
      <c r="G728" s="8"/>
      <c r="H728" s="8"/>
      <c r="I728" s="8"/>
      <c r="J728" s="8"/>
      <c r="K728" s="8"/>
      <c r="L728" s="8"/>
    </row>
    <row r="729" spans="7:12" x14ac:dyDescent="0.55000000000000004">
      <c r="G729" s="8"/>
      <c r="H729" s="8"/>
      <c r="I729" s="8"/>
      <c r="J729" s="8"/>
      <c r="K729" s="8"/>
      <c r="L729" s="8"/>
    </row>
    <row r="730" spans="7:12" x14ac:dyDescent="0.55000000000000004">
      <c r="G730" s="8"/>
      <c r="H730" s="8"/>
      <c r="I730" s="8"/>
      <c r="J730" s="8"/>
      <c r="K730" s="8"/>
      <c r="L730" s="8"/>
    </row>
    <row r="731" spans="7:12" x14ac:dyDescent="0.55000000000000004">
      <c r="G731" s="8"/>
      <c r="H731" s="8"/>
      <c r="I731" s="8"/>
      <c r="J731" s="8"/>
      <c r="K731" s="8"/>
      <c r="L731" s="8"/>
    </row>
    <row r="732" spans="7:12" x14ac:dyDescent="0.55000000000000004">
      <c r="G732" s="8"/>
      <c r="H732" s="8"/>
      <c r="I732" s="8"/>
      <c r="J732" s="8"/>
      <c r="K732" s="8"/>
      <c r="L732" s="8"/>
    </row>
    <row r="733" spans="7:12" x14ac:dyDescent="0.55000000000000004">
      <c r="G733" s="8"/>
      <c r="H733" s="8"/>
      <c r="I733" s="8"/>
      <c r="J733" s="8"/>
      <c r="K733" s="8"/>
      <c r="L733" s="8"/>
    </row>
    <row r="734" spans="7:12" x14ac:dyDescent="0.55000000000000004">
      <c r="G734" s="8"/>
      <c r="H734" s="8"/>
      <c r="I734" s="8"/>
      <c r="J734" s="8"/>
      <c r="K734" s="8"/>
      <c r="L734" s="8"/>
    </row>
    <row r="735" spans="7:12" x14ac:dyDescent="0.55000000000000004">
      <c r="G735" s="8"/>
      <c r="H735" s="8"/>
      <c r="I735" s="8"/>
      <c r="J735" s="8"/>
      <c r="K735" s="8"/>
      <c r="L735" s="8"/>
    </row>
    <row r="736" spans="7:12" x14ac:dyDescent="0.55000000000000004">
      <c r="G736" s="8"/>
      <c r="H736" s="8"/>
      <c r="I736" s="8"/>
      <c r="J736" s="8"/>
      <c r="K736" s="8"/>
      <c r="L736" s="8"/>
    </row>
    <row r="737" spans="7:12" x14ac:dyDescent="0.55000000000000004">
      <c r="G737" s="8"/>
      <c r="H737" s="8"/>
      <c r="I737" s="8"/>
      <c r="J737" s="8"/>
      <c r="K737" s="8"/>
      <c r="L737" s="8"/>
    </row>
    <row r="738" spans="7:12" x14ac:dyDescent="0.55000000000000004">
      <c r="G738" s="8"/>
      <c r="H738" s="8"/>
      <c r="I738" s="8"/>
      <c r="J738" s="8"/>
      <c r="K738" s="8"/>
      <c r="L738" s="8"/>
    </row>
    <row r="739" spans="7:12" x14ac:dyDescent="0.55000000000000004">
      <c r="G739" s="8"/>
      <c r="H739" s="8"/>
      <c r="I739" s="8"/>
      <c r="J739" s="8"/>
      <c r="K739" s="8"/>
      <c r="L739" s="8"/>
    </row>
    <row r="740" spans="7:12" x14ac:dyDescent="0.55000000000000004">
      <c r="G740" s="8"/>
      <c r="H740" s="8"/>
      <c r="I740" s="8"/>
      <c r="J740" s="8"/>
      <c r="K740" s="8"/>
      <c r="L740" s="8"/>
    </row>
    <row r="741" spans="7:12" x14ac:dyDescent="0.55000000000000004">
      <c r="G741" s="8"/>
      <c r="H741" s="8"/>
      <c r="I741" s="8"/>
      <c r="J741" s="8"/>
      <c r="K741" s="8"/>
      <c r="L741" s="8"/>
    </row>
    <row r="742" spans="7:12" x14ac:dyDescent="0.55000000000000004">
      <c r="G742" s="8"/>
      <c r="H742" s="8"/>
      <c r="I742" s="8"/>
      <c r="J742" s="8"/>
      <c r="K742" s="8"/>
      <c r="L742" s="8"/>
    </row>
    <row r="743" spans="7:12" x14ac:dyDescent="0.55000000000000004">
      <c r="G743" s="8"/>
      <c r="H743" s="8"/>
      <c r="I743" s="8"/>
      <c r="J743" s="8"/>
      <c r="K743" s="8"/>
      <c r="L743" s="8"/>
    </row>
    <row r="744" spans="7:12" x14ac:dyDescent="0.55000000000000004">
      <c r="G744" s="8"/>
      <c r="H744" s="8"/>
      <c r="I744" s="8"/>
      <c r="J744" s="8"/>
      <c r="K744" s="8"/>
      <c r="L744" s="8"/>
    </row>
    <row r="745" spans="7:12" x14ac:dyDescent="0.55000000000000004">
      <c r="G745" s="8"/>
      <c r="H745" s="8"/>
      <c r="I745" s="8"/>
      <c r="J745" s="8"/>
      <c r="K745" s="8"/>
      <c r="L745" s="8"/>
    </row>
    <row r="746" spans="7:12" x14ac:dyDescent="0.55000000000000004">
      <c r="G746" s="8"/>
      <c r="H746" s="8"/>
      <c r="I746" s="8"/>
      <c r="J746" s="8"/>
      <c r="K746" s="8"/>
      <c r="L746" s="8"/>
    </row>
    <row r="747" spans="7:12" x14ac:dyDescent="0.55000000000000004">
      <c r="G747" s="8"/>
      <c r="H747" s="8"/>
      <c r="I747" s="8"/>
      <c r="J747" s="8"/>
      <c r="K747" s="8"/>
      <c r="L747" s="8"/>
    </row>
    <row r="748" spans="7:12" x14ac:dyDescent="0.55000000000000004">
      <c r="G748" s="8"/>
      <c r="H748" s="8"/>
      <c r="I748" s="8"/>
      <c r="J748" s="8"/>
      <c r="K748" s="8"/>
      <c r="L748" s="8"/>
    </row>
    <row r="749" spans="7:12" x14ac:dyDescent="0.55000000000000004">
      <c r="G749" s="8"/>
      <c r="H749" s="8"/>
      <c r="I749" s="8"/>
      <c r="J749" s="8"/>
      <c r="K749" s="8"/>
      <c r="L749" s="8"/>
    </row>
    <row r="750" spans="7:12" x14ac:dyDescent="0.55000000000000004">
      <c r="G750" s="8"/>
      <c r="H750" s="8"/>
      <c r="I750" s="8"/>
      <c r="J750" s="8"/>
      <c r="K750" s="8"/>
      <c r="L750" s="8"/>
    </row>
    <row r="751" spans="7:12" x14ac:dyDescent="0.55000000000000004">
      <c r="G751" s="8"/>
      <c r="H751" s="8"/>
      <c r="I751" s="8"/>
      <c r="J751" s="8"/>
      <c r="K751" s="8"/>
      <c r="L751" s="8"/>
    </row>
    <row r="752" spans="7:12" x14ac:dyDescent="0.55000000000000004">
      <c r="G752" s="8"/>
      <c r="H752" s="8"/>
      <c r="I752" s="8"/>
      <c r="J752" s="8"/>
      <c r="K752" s="8"/>
      <c r="L752" s="8"/>
    </row>
    <row r="753" spans="7:12" x14ac:dyDescent="0.55000000000000004">
      <c r="G753" s="8"/>
      <c r="H753" s="8"/>
      <c r="I753" s="8"/>
      <c r="J753" s="8"/>
      <c r="K753" s="8"/>
      <c r="L753" s="8"/>
    </row>
    <row r="754" spans="7:12" x14ac:dyDescent="0.55000000000000004">
      <c r="G754" s="8"/>
      <c r="H754" s="8"/>
      <c r="I754" s="8"/>
      <c r="J754" s="8"/>
      <c r="K754" s="8"/>
      <c r="L754" s="8"/>
    </row>
    <row r="755" spans="7:12" x14ac:dyDescent="0.55000000000000004">
      <c r="G755" s="8"/>
      <c r="H755" s="8"/>
      <c r="I755" s="8"/>
      <c r="J755" s="8"/>
      <c r="K755" s="8"/>
      <c r="L755" s="8"/>
    </row>
    <row r="756" spans="7:12" x14ac:dyDescent="0.55000000000000004">
      <c r="G756" s="8"/>
      <c r="H756" s="8"/>
      <c r="I756" s="8"/>
      <c r="J756" s="8"/>
      <c r="K756" s="8"/>
      <c r="L756" s="8"/>
    </row>
    <row r="757" spans="7:12" x14ac:dyDescent="0.55000000000000004">
      <c r="G757" s="8"/>
      <c r="H757" s="8"/>
      <c r="I757" s="8"/>
      <c r="J757" s="8"/>
      <c r="K757" s="8"/>
      <c r="L757" s="8"/>
    </row>
    <row r="758" spans="7:12" x14ac:dyDescent="0.55000000000000004">
      <c r="G758" s="8"/>
      <c r="H758" s="8"/>
      <c r="I758" s="8"/>
      <c r="J758" s="8"/>
      <c r="K758" s="8"/>
      <c r="L758" s="8"/>
    </row>
    <row r="759" spans="7:12" x14ac:dyDescent="0.55000000000000004">
      <c r="G759" s="8"/>
      <c r="H759" s="8"/>
      <c r="I759" s="8"/>
      <c r="J759" s="8"/>
      <c r="K759" s="8"/>
      <c r="L759" s="8"/>
    </row>
    <row r="760" spans="7:12" x14ac:dyDescent="0.55000000000000004">
      <c r="G760" s="8"/>
      <c r="H760" s="8"/>
      <c r="I760" s="8"/>
      <c r="J760" s="8"/>
      <c r="K760" s="8"/>
      <c r="L760" s="8"/>
    </row>
    <row r="761" spans="7:12" x14ac:dyDescent="0.55000000000000004">
      <c r="G761" s="8"/>
      <c r="H761" s="8"/>
      <c r="I761" s="8"/>
      <c r="J761" s="8"/>
      <c r="K761" s="8"/>
      <c r="L761" s="8"/>
    </row>
    <row r="762" spans="7:12" x14ac:dyDescent="0.55000000000000004">
      <c r="G762" s="8"/>
      <c r="H762" s="8"/>
      <c r="I762" s="8"/>
      <c r="J762" s="8"/>
      <c r="K762" s="8"/>
      <c r="L762" s="8"/>
    </row>
    <row r="763" spans="7:12" x14ac:dyDescent="0.55000000000000004">
      <c r="G763" s="8"/>
      <c r="H763" s="8"/>
      <c r="I763" s="8"/>
      <c r="J763" s="8"/>
      <c r="K763" s="8"/>
      <c r="L763" s="8"/>
    </row>
    <row r="764" spans="7:12" x14ac:dyDescent="0.55000000000000004">
      <c r="G764" s="8"/>
      <c r="H764" s="8"/>
      <c r="I764" s="8"/>
      <c r="J764" s="8"/>
      <c r="K764" s="8"/>
      <c r="L764" s="8"/>
    </row>
    <row r="765" spans="7:12" x14ac:dyDescent="0.55000000000000004">
      <c r="G765" s="8"/>
      <c r="H765" s="8"/>
      <c r="I765" s="8"/>
      <c r="J765" s="8"/>
      <c r="K765" s="8"/>
      <c r="L765" s="8"/>
    </row>
    <row r="766" spans="7:12" x14ac:dyDescent="0.55000000000000004">
      <c r="G766" s="8"/>
      <c r="H766" s="8"/>
      <c r="I766" s="8"/>
      <c r="J766" s="8"/>
      <c r="K766" s="8"/>
      <c r="L766" s="8"/>
    </row>
    <row r="767" spans="7:12" x14ac:dyDescent="0.55000000000000004">
      <c r="G767" s="8"/>
      <c r="H767" s="8"/>
      <c r="I767" s="8"/>
      <c r="J767" s="8"/>
      <c r="K767" s="8"/>
      <c r="L767" s="8"/>
    </row>
    <row r="768" spans="7:12" x14ac:dyDescent="0.55000000000000004">
      <c r="G768" s="8"/>
      <c r="H768" s="8"/>
      <c r="I768" s="8"/>
      <c r="J768" s="8"/>
      <c r="K768" s="8"/>
      <c r="L768" s="8"/>
    </row>
    <row r="769" spans="7:12" x14ac:dyDescent="0.55000000000000004">
      <c r="G769" s="8"/>
      <c r="H769" s="8"/>
      <c r="I769" s="8"/>
      <c r="J769" s="8"/>
      <c r="K769" s="8"/>
      <c r="L769" s="8"/>
    </row>
    <row r="770" spans="7:12" x14ac:dyDescent="0.55000000000000004">
      <c r="G770" s="8"/>
      <c r="H770" s="8"/>
      <c r="I770" s="8"/>
      <c r="J770" s="8"/>
      <c r="K770" s="8"/>
      <c r="L770" s="8"/>
    </row>
    <row r="771" spans="7:12" x14ac:dyDescent="0.55000000000000004">
      <c r="G771" s="8"/>
      <c r="H771" s="8"/>
      <c r="I771" s="8"/>
      <c r="J771" s="8"/>
      <c r="K771" s="8"/>
      <c r="L771" s="8"/>
    </row>
    <row r="772" spans="7:12" x14ac:dyDescent="0.55000000000000004">
      <c r="G772" s="8"/>
      <c r="H772" s="8"/>
      <c r="I772" s="8"/>
      <c r="J772" s="8"/>
      <c r="K772" s="8"/>
      <c r="L772" s="8"/>
    </row>
    <row r="773" spans="7:12" x14ac:dyDescent="0.55000000000000004">
      <c r="G773" s="8"/>
      <c r="H773" s="8"/>
      <c r="I773" s="8"/>
      <c r="J773" s="8"/>
      <c r="K773" s="8"/>
      <c r="L773" s="8"/>
    </row>
    <row r="774" spans="7:12" x14ac:dyDescent="0.55000000000000004">
      <c r="G774" s="8"/>
      <c r="H774" s="8"/>
      <c r="I774" s="8"/>
      <c r="J774" s="8"/>
      <c r="K774" s="8"/>
      <c r="L774" s="8"/>
    </row>
    <row r="775" spans="7:12" x14ac:dyDescent="0.55000000000000004">
      <c r="G775" s="8"/>
      <c r="H775" s="8"/>
      <c r="I775" s="8"/>
      <c r="J775" s="8"/>
      <c r="K775" s="8"/>
      <c r="L775" s="8"/>
    </row>
    <row r="776" spans="7:12" x14ac:dyDescent="0.55000000000000004">
      <c r="G776" s="8"/>
      <c r="H776" s="8"/>
      <c r="I776" s="8"/>
      <c r="J776" s="8"/>
      <c r="K776" s="8"/>
      <c r="L776" s="8"/>
    </row>
    <row r="777" spans="7:12" x14ac:dyDescent="0.55000000000000004">
      <c r="G777" s="8"/>
      <c r="H777" s="8"/>
      <c r="I777" s="8"/>
      <c r="J777" s="8"/>
      <c r="K777" s="8"/>
      <c r="L777" s="8"/>
    </row>
    <row r="778" spans="7:12" x14ac:dyDescent="0.55000000000000004">
      <c r="G778" s="8"/>
      <c r="H778" s="8"/>
      <c r="I778" s="8"/>
      <c r="J778" s="8"/>
      <c r="K778" s="8"/>
      <c r="L778" s="8"/>
    </row>
    <row r="779" spans="7:12" x14ac:dyDescent="0.55000000000000004">
      <c r="G779" s="8"/>
      <c r="H779" s="8"/>
      <c r="I779" s="8"/>
      <c r="J779" s="8"/>
      <c r="K779" s="8"/>
      <c r="L779" s="8"/>
    </row>
    <row r="780" spans="7:12" x14ac:dyDescent="0.55000000000000004">
      <c r="G780" s="8"/>
      <c r="H780" s="8"/>
      <c r="I780" s="8"/>
      <c r="J780" s="8"/>
      <c r="K780" s="8"/>
      <c r="L780" s="8"/>
    </row>
    <row r="781" spans="7:12" x14ac:dyDescent="0.55000000000000004">
      <c r="G781" s="8"/>
      <c r="H781" s="8"/>
      <c r="I781" s="8"/>
      <c r="J781" s="8"/>
      <c r="K781" s="8"/>
      <c r="L781" s="8"/>
    </row>
    <row r="782" spans="7:12" x14ac:dyDescent="0.55000000000000004">
      <c r="G782" s="8"/>
      <c r="H782" s="8"/>
      <c r="I782" s="8"/>
      <c r="J782" s="8"/>
      <c r="K782" s="8"/>
      <c r="L782" s="8"/>
    </row>
    <row r="783" spans="7:12" x14ac:dyDescent="0.55000000000000004">
      <c r="G783" s="8"/>
      <c r="H783" s="8"/>
      <c r="I783" s="8"/>
      <c r="J783" s="8"/>
      <c r="K783" s="8"/>
      <c r="L783" s="8"/>
    </row>
    <row r="784" spans="7:12" x14ac:dyDescent="0.55000000000000004">
      <c r="G784" s="8"/>
      <c r="H784" s="8"/>
      <c r="I784" s="8"/>
      <c r="J784" s="8"/>
      <c r="K784" s="8"/>
      <c r="L784" s="8"/>
    </row>
    <row r="785" spans="7:12" x14ac:dyDescent="0.55000000000000004">
      <c r="G785" s="8"/>
      <c r="H785" s="8"/>
      <c r="I785" s="8"/>
      <c r="J785" s="8"/>
      <c r="K785" s="8"/>
      <c r="L785" s="8"/>
    </row>
    <row r="786" spans="7:12" x14ac:dyDescent="0.55000000000000004">
      <c r="G786" s="8"/>
      <c r="H786" s="8"/>
      <c r="I786" s="8"/>
      <c r="J786" s="8"/>
      <c r="K786" s="8"/>
      <c r="L786" s="8"/>
    </row>
    <row r="787" spans="7:12" x14ac:dyDescent="0.55000000000000004">
      <c r="G787" s="8"/>
      <c r="H787" s="8"/>
      <c r="I787" s="8"/>
      <c r="J787" s="8"/>
      <c r="K787" s="8"/>
      <c r="L787" s="8"/>
    </row>
    <row r="788" spans="7:12" x14ac:dyDescent="0.55000000000000004">
      <c r="G788" s="8"/>
      <c r="H788" s="8"/>
      <c r="I788" s="8"/>
      <c r="J788" s="8"/>
      <c r="K788" s="8"/>
      <c r="L788" s="8"/>
    </row>
    <row r="789" spans="7:12" x14ac:dyDescent="0.55000000000000004">
      <c r="G789" s="8"/>
      <c r="H789" s="8"/>
      <c r="I789" s="8"/>
      <c r="J789" s="8"/>
      <c r="K789" s="8"/>
      <c r="L789" s="8"/>
    </row>
    <row r="790" spans="7:12" x14ac:dyDescent="0.55000000000000004">
      <c r="G790" s="8"/>
      <c r="H790" s="8"/>
      <c r="I790" s="8"/>
      <c r="J790" s="8"/>
      <c r="K790" s="8"/>
      <c r="L790" s="8"/>
    </row>
    <row r="791" spans="7:12" x14ac:dyDescent="0.55000000000000004">
      <c r="G791" s="8"/>
      <c r="H791" s="8"/>
      <c r="I791" s="8"/>
      <c r="J791" s="8"/>
      <c r="K791" s="8"/>
      <c r="L791" s="8"/>
    </row>
    <row r="792" spans="7:12" x14ac:dyDescent="0.55000000000000004">
      <c r="G792" s="8"/>
      <c r="H792" s="8"/>
      <c r="I792" s="8"/>
      <c r="J792" s="8"/>
      <c r="K792" s="8"/>
      <c r="L792" s="8"/>
    </row>
    <row r="793" spans="7:12" x14ac:dyDescent="0.55000000000000004">
      <c r="G793" s="8"/>
      <c r="H793" s="8"/>
      <c r="I793" s="8"/>
      <c r="J793" s="8"/>
      <c r="K793" s="8"/>
      <c r="L793" s="8"/>
    </row>
    <row r="794" spans="7:12" x14ac:dyDescent="0.55000000000000004">
      <c r="G794" s="8"/>
      <c r="H794" s="8"/>
      <c r="I794" s="8"/>
      <c r="J794" s="8"/>
      <c r="K794" s="8"/>
      <c r="L794" s="8"/>
    </row>
    <row r="795" spans="7:12" x14ac:dyDescent="0.55000000000000004">
      <c r="G795" s="8"/>
      <c r="H795" s="8"/>
      <c r="I795" s="8"/>
      <c r="J795" s="8"/>
      <c r="K795" s="8"/>
      <c r="L795" s="8"/>
    </row>
    <row r="796" spans="7:12" x14ac:dyDescent="0.55000000000000004">
      <c r="G796" s="8"/>
      <c r="H796" s="8"/>
      <c r="I796" s="8"/>
      <c r="J796" s="8"/>
      <c r="K796" s="8"/>
      <c r="L796" s="8"/>
    </row>
    <row r="797" spans="7:12" x14ac:dyDescent="0.55000000000000004">
      <c r="G797" s="8"/>
      <c r="H797" s="8"/>
      <c r="I797" s="8"/>
      <c r="J797" s="8"/>
      <c r="K797" s="8"/>
      <c r="L797" s="8"/>
    </row>
    <row r="798" spans="7:12" x14ac:dyDescent="0.55000000000000004">
      <c r="G798" s="8"/>
      <c r="H798" s="8"/>
      <c r="I798" s="8"/>
      <c r="J798" s="8"/>
      <c r="K798" s="8"/>
      <c r="L798" s="8"/>
    </row>
    <row r="799" spans="7:12" x14ac:dyDescent="0.55000000000000004">
      <c r="G799" s="8"/>
      <c r="H799" s="8"/>
      <c r="I799" s="8"/>
      <c r="J799" s="8"/>
      <c r="K799" s="8"/>
      <c r="L799" s="8"/>
    </row>
    <row r="800" spans="7:12" x14ac:dyDescent="0.55000000000000004">
      <c r="G800" s="8"/>
      <c r="H800" s="8"/>
      <c r="I800" s="8"/>
      <c r="J800" s="8"/>
      <c r="K800" s="8"/>
      <c r="L800" s="8"/>
    </row>
    <row r="801" spans="7:12" x14ac:dyDescent="0.55000000000000004">
      <c r="G801" s="8"/>
      <c r="H801" s="8"/>
      <c r="I801" s="8"/>
      <c r="J801" s="8"/>
      <c r="K801" s="8"/>
      <c r="L801" s="8"/>
    </row>
    <row r="802" spans="7:12" x14ac:dyDescent="0.55000000000000004">
      <c r="G802" s="8"/>
      <c r="H802" s="8"/>
      <c r="I802" s="8"/>
      <c r="J802" s="8"/>
      <c r="K802" s="8"/>
      <c r="L802" s="8"/>
    </row>
    <row r="803" spans="7:12" x14ac:dyDescent="0.55000000000000004">
      <c r="G803" s="8"/>
      <c r="H803" s="8"/>
      <c r="I803" s="8"/>
      <c r="J803" s="8"/>
      <c r="K803" s="8"/>
      <c r="L803" s="8"/>
    </row>
    <row r="804" spans="7:12" x14ac:dyDescent="0.55000000000000004">
      <c r="G804" s="8"/>
      <c r="H804" s="8"/>
      <c r="I804" s="8"/>
      <c r="J804" s="8"/>
      <c r="K804" s="8"/>
      <c r="L804" s="8"/>
    </row>
    <row r="805" spans="7:12" x14ac:dyDescent="0.55000000000000004">
      <c r="G805" s="8"/>
      <c r="H805" s="8"/>
      <c r="I805" s="8"/>
      <c r="J805" s="8"/>
      <c r="K805" s="8"/>
      <c r="L805" s="8"/>
    </row>
    <row r="806" spans="7:12" x14ac:dyDescent="0.55000000000000004">
      <c r="G806" s="8"/>
      <c r="H806" s="8"/>
      <c r="I806" s="8"/>
      <c r="J806" s="8"/>
      <c r="K806" s="8"/>
      <c r="L806" s="8"/>
    </row>
    <row r="807" spans="7:12" x14ac:dyDescent="0.55000000000000004">
      <c r="G807" s="8"/>
      <c r="H807" s="8"/>
      <c r="I807" s="8"/>
      <c r="J807" s="8"/>
      <c r="K807" s="8"/>
      <c r="L807" s="8"/>
    </row>
    <row r="808" spans="7:12" x14ac:dyDescent="0.55000000000000004">
      <c r="G808" s="8"/>
      <c r="H808" s="8"/>
      <c r="I808" s="8"/>
      <c r="J808" s="8"/>
      <c r="K808" s="8"/>
      <c r="L808" s="8"/>
    </row>
    <row r="809" spans="7:12" x14ac:dyDescent="0.55000000000000004">
      <c r="G809" s="8"/>
      <c r="H809" s="8"/>
      <c r="I809" s="8"/>
      <c r="J809" s="8"/>
      <c r="K809" s="8"/>
      <c r="L809" s="8"/>
    </row>
    <row r="810" spans="7:12" x14ac:dyDescent="0.55000000000000004">
      <c r="G810" s="8"/>
      <c r="H810" s="8"/>
      <c r="I810" s="8"/>
      <c r="J810" s="8"/>
      <c r="K810" s="8"/>
      <c r="L810" s="8"/>
    </row>
    <row r="811" spans="7:12" x14ac:dyDescent="0.55000000000000004">
      <c r="G811" s="8"/>
      <c r="H811" s="8"/>
      <c r="I811" s="8"/>
      <c r="J811" s="8"/>
      <c r="K811" s="8"/>
      <c r="L811" s="8"/>
    </row>
    <row r="812" spans="7:12" x14ac:dyDescent="0.55000000000000004">
      <c r="G812" s="8"/>
      <c r="H812" s="8"/>
      <c r="I812" s="8"/>
      <c r="J812" s="8"/>
      <c r="K812" s="8"/>
      <c r="L812" s="8"/>
    </row>
    <row r="813" spans="7:12" x14ac:dyDescent="0.55000000000000004">
      <c r="G813" s="8"/>
      <c r="H813" s="8"/>
      <c r="I813" s="8"/>
      <c r="J813" s="8"/>
      <c r="K813" s="8"/>
      <c r="L813" s="8"/>
    </row>
    <row r="814" spans="7:12" x14ac:dyDescent="0.55000000000000004">
      <c r="G814" s="8"/>
      <c r="H814" s="8"/>
      <c r="I814" s="8"/>
      <c r="J814" s="8"/>
      <c r="K814" s="8"/>
      <c r="L814" s="8"/>
    </row>
    <row r="815" spans="7:12" x14ac:dyDescent="0.55000000000000004">
      <c r="G815" s="8"/>
      <c r="H815" s="8"/>
      <c r="I815" s="8"/>
      <c r="J815" s="8"/>
      <c r="K815" s="8"/>
      <c r="L815" s="8"/>
    </row>
    <row r="816" spans="7:12" x14ac:dyDescent="0.55000000000000004">
      <c r="G816" s="8"/>
      <c r="H816" s="8"/>
      <c r="I816" s="8"/>
      <c r="J816" s="8"/>
      <c r="K816" s="8"/>
      <c r="L816" s="8"/>
    </row>
    <row r="817" spans="7:12" x14ac:dyDescent="0.55000000000000004">
      <c r="G817" s="8"/>
      <c r="H817" s="8"/>
      <c r="I817" s="8"/>
      <c r="J817" s="8"/>
      <c r="K817" s="8"/>
      <c r="L817" s="8"/>
    </row>
    <row r="818" spans="7:12" x14ac:dyDescent="0.55000000000000004">
      <c r="G818" s="8"/>
      <c r="H818" s="8"/>
      <c r="I818" s="8"/>
      <c r="J818" s="8"/>
      <c r="K818" s="8"/>
      <c r="L818" s="8"/>
    </row>
    <row r="819" spans="7:12" x14ac:dyDescent="0.55000000000000004">
      <c r="G819" s="8"/>
      <c r="H819" s="8"/>
      <c r="I819" s="8"/>
      <c r="J819" s="8"/>
      <c r="K819" s="8"/>
      <c r="L819" s="8"/>
    </row>
    <row r="820" spans="7:12" x14ac:dyDescent="0.55000000000000004">
      <c r="G820" s="8"/>
      <c r="H820" s="8"/>
      <c r="I820" s="8"/>
      <c r="J820" s="8"/>
      <c r="K820" s="8"/>
      <c r="L820" s="8"/>
    </row>
    <row r="821" spans="7:12" x14ac:dyDescent="0.55000000000000004">
      <c r="G821" s="8"/>
      <c r="H821" s="8"/>
      <c r="I821" s="8"/>
      <c r="J821" s="8"/>
      <c r="K821" s="8"/>
      <c r="L821" s="8"/>
    </row>
    <row r="822" spans="7:12" x14ac:dyDescent="0.55000000000000004">
      <c r="G822" s="8"/>
      <c r="H822" s="8"/>
      <c r="I822" s="8"/>
      <c r="J822" s="8"/>
      <c r="K822" s="8"/>
      <c r="L822" s="8"/>
    </row>
    <row r="823" spans="7:12" x14ac:dyDescent="0.55000000000000004">
      <c r="G823" s="8"/>
      <c r="H823" s="8"/>
      <c r="I823" s="8"/>
      <c r="J823" s="8"/>
      <c r="K823" s="8"/>
      <c r="L823" s="8"/>
    </row>
    <row r="824" spans="7:12" x14ac:dyDescent="0.55000000000000004">
      <c r="G824" s="8"/>
      <c r="H824" s="8"/>
      <c r="I824" s="8"/>
      <c r="J824" s="8"/>
      <c r="K824" s="8"/>
      <c r="L824" s="8"/>
    </row>
    <row r="825" spans="7:12" x14ac:dyDescent="0.55000000000000004">
      <c r="G825" s="8"/>
      <c r="H825" s="8"/>
      <c r="I825" s="8"/>
      <c r="J825" s="8"/>
      <c r="K825" s="8"/>
      <c r="L825" s="8"/>
    </row>
    <row r="826" spans="7:12" x14ac:dyDescent="0.55000000000000004">
      <c r="G826" s="8"/>
      <c r="H826" s="8"/>
      <c r="I826" s="8"/>
      <c r="J826" s="8"/>
      <c r="K826" s="8"/>
      <c r="L826" s="8"/>
    </row>
    <row r="827" spans="7:12" x14ac:dyDescent="0.55000000000000004">
      <c r="G827" s="8"/>
      <c r="H827" s="8"/>
      <c r="I827" s="8"/>
      <c r="J827" s="8"/>
      <c r="K827" s="8"/>
      <c r="L827" s="8"/>
    </row>
    <row r="828" spans="7:12" x14ac:dyDescent="0.55000000000000004">
      <c r="G828" s="8"/>
      <c r="H828" s="8"/>
      <c r="I828" s="8"/>
      <c r="J828" s="8"/>
      <c r="K828" s="8"/>
      <c r="L828" s="8"/>
    </row>
    <row r="829" spans="7:12" x14ac:dyDescent="0.55000000000000004">
      <c r="G829" s="8"/>
      <c r="H829" s="8"/>
      <c r="I829" s="8"/>
      <c r="J829" s="8"/>
      <c r="K829" s="8"/>
      <c r="L829" s="8"/>
    </row>
    <row r="830" spans="7:12" x14ac:dyDescent="0.55000000000000004">
      <c r="G830" s="8"/>
      <c r="H830" s="8"/>
      <c r="I830" s="8"/>
      <c r="J830" s="8"/>
      <c r="K830" s="8"/>
      <c r="L830" s="8"/>
    </row>
    <row r="831" spans="7:12" x14ac:dyDescent="0.55000000000000004">
      <c r="G831" s="8"/>
      <c r="H831" s="8"/>
      <c r="I831" s="8"/>
      <c r="J831" s="8"/>
      <c r="K831" s="8"/>
      <c r="L831" s="8"/>
    </row>
    <row r="832" spans="7:12" x14ac:dyDescent="0.55000000000000004">
      <c r="G832" s="8"/>
      <c r="H832" s="8"/>
      <c r="I832" s="8"/>
      <c r="J832" s="8"/>
      <c r="K832" s="8"/>
      <c r="L832" s="8"/>
    </row>
    <row r="833" spans="7:12" x14ac:dyDescent="0.55000000000000004">
      <c r="G833" s="8"/>
      <c r="H833" s="8"/>
      <c r="I833" s="8"/>
      <c r="J833" s="8"/>
      <c r="K833" s="8"/>
      <c r="L833" s="8"/>
    </row>
    <row r="834" spans="7:12" x14ac:dyDescent="0.55000000000000004">
      <c r="G834" s="8"/>
      <c r="H834" s="8"/>
      <c r="I834" s="8"/>
      <c r="J834" s="8"/>
      <c r="K834" s="8"/>
      <c r="L834" s="8"/>
    </row>
    <row r="835" spans="7:12" x14ac:dyDescent="0.55000000000000004">
      <c r="G835" s="8"/>
      <c r="H835" s="8"/>
      <c r="I835" s="8"/>
      <c r="J835" s="8"/>
      <c r="K835" s="8"/>
      <c r="L835" s="8"/>
    </row>
    <row r="836" spans="7:12" x14ac:dyDescent="0.55000000000000004">
      <c r="G836" s="8"/>
      <c r="H836" s="8"/>
      <c r="I836" s="8"/>
      <c r="J836" s="8"/>
      <c r="K836" s="8"/>
      <c r="L836" s="8"/>
    </row>
    <row r="837" spans="7:12" x14ac:dyDescent="0.55000000000000004">
      <c r="G837" s="8"/>
      <c r="H837" s="8"/>
      <c r="I837" s="8"/>
      <c r="J837" s="8"/>
      <c r="K837" s="8"/>
      <c r="L837" s="8"/>
    </row>
    <row r="838" spans="7:12" x14ac:dyDescent="0.55000000000000004">
      <c r="G838" s="8"/>
      <c r="H838" s="8"/>
      <c r="I838" s="8"/>
      <c r="J838" s="8"/>
      <c r="K838" s="8"/>
      <c r="L838" s="8"/>
    </row>
    <row r="839" spans="7:12" x14ac:dyDescent="0.55000000000000004">
      <c r="G839" s="8"/>
      <c r="H839" s="8"/>
      <c r="I839" s="8"/>
      <c r="J839" s="8"/>
      <c r="K839" s="8"/>
      <c r="L839" s="8"/>
    </row>
    <row r="840" spans="7:12" x14ac:dyDescent="0.55000000000000004">
      <c r="G840" s="8"/>
      <c r="H840" s="8"/>
      <c r="I840" s="8"/>
      <c r="J840" s="8"/>
      <c r="K840" s="8"/>
      <c r="L840" s="8"/>
    </row>
    <row r="841" spans="7:12" x14ac:dyDescent="0.55000000000000004">
      <c r="G841" s="8"/>
      <c r="H841" s="8"/>
      <c r="I841" s="8"/>
      <c r="J841" s="8"/>
      <c r="K841" s="8"/>
      <c r="L841" s="8"/>
    </row>
    <row r="842" spans="7:12" x14ac:dyDescent="0.55000000000000004">
      <c r="G842" s="8"/>
      <c r="H842" s="8"/>
      <c r="I842" s="8"/>
      <c r="J842" s="8"/>
      <c r="K842" s="8"/>
      <c r="L842" s="8"/>
    </row>
    <row r="843" spans="7:12" x14ac:dyDescent="0.55000000000000004">
      <c r="G843" s="8"/>
      <c r="H843" s="8"/>
      <c r="I843" s="8"/>
      <c r="J843" s="8"/>
      <c r="K843" s="8"/>
      <c r="L843" s="8"/>
    </row>
    <row r="844" spans="7:12" x14ac:dyDescent="0.55000000000000004">
      <c r="G844" s="8"/>
      <c r="H844" s="8"/>
      <c r="I844" s="8"/>
      <c r="J844" s="8"/>
      <c r="K844" s="8"/>
      <c r="L844" s="8"/>
    </row>
    <row r="845" spans="7:12" x14ac:dyDescent="0.55000000000000004">
      <c r="G845" s="8"/>
      <c r="H845" s="8"/>
      <c r="I845" s="8"/>
      <c r="J845" s="8"/>
      <c r="K845" s="8"/>
      <c r="L845" s="8"/>
    </row>
    <row r="846" spans="7:12" x14ac:dyDescent="0.55000000000000004">
      <c r="G846" s="8"/>
      <c r="H846" s="8"/>
      <c r="I846" s="8"/>
      <c r="J846" s="8"/>
      <c r="K846" s="8"/>
      <c r="L846" s="8"/>
    </row>
    <row r="847" spans="7:12" x14ac:dyDescent="0.55000000000000004">
      <c r="G847" s="8"/>
      <c r="H847" s="8"/>
      <c r="I847" s="8"/>
      <c r="J847" s="8"/>
      <c r="K847" s="8"/>
      <c r="L847" s="8"/>
    </row>
    <row r="848" spans="7:12" x14ac:dyDescent="0.55000000000000004">
      <c r="G848" s="8"/>
      <c r="H848" s="8"/>
      <c r="I848" s="8"/>
      <c r="J848" s="8"/>
      <c r="K848" s="8"/>
      <c r="L848" s="8"/>
    </row>
    <row r="849" spans="7:12" x14ac:dyDescent="0.55000000000000004">
      <c r="G849" s="8"/>
      <c r="H849" s="8"/>
      <c r="I849" s="8"/>
      <c r="J849" s="8"/>
      <c r="K849" s="8"/>
      <c r="L849" s="8"/>
    </row>
    <row r="850" spans="7:12" x14ac:dyDescent="0.55000000000000004">
      <c r="G850" s="8"/>
      <c r="H850" s="8"/>
      <c r="I850" s="8"/>
      <c r="J850" s="8"/>
      <c r="K850" s="8"/>
      <c r="L850" s="8"/>
    </row>
    <row r="851" spans="7:12" x14ac:dyDescent="0.55000000000000004">
      <c r="G851" s="8"/>
      <c r="H851" s="8"/>
      <c r="I851" s="8"/>
      <c r="J851" s="8"/>
      <c r="K851" s="8"/>
      <c r="L851" s="8"/>
    </row>
    <row r="852" spans="7:12" x14ac:dyDescent="0.55000000000000004">
      <c r="G852" s="8"/>
      <c r="H852" s="8"/>
      <c r="I852" s="8"/>
      <c r="J852" s="8"/>
      <c r="K852" s="8"/>
      <c r="L852" s="8"/>
    </row>
    <row r="853" spans="7:12" x14ac:dyDescent="0.55000000000000004">
      <c r="G853" s="8"/>
      <c r="H853" s="8"/>
      <c r="I853" s="8"/>
      <c r="J853" s="8"/>
      <c r="K853" s="8"/>
      <c r="L853" s="8"/>
    </row>
    <row r="854" spans="7:12" x14ac:dyDescent="0.55000000000000004">
      <c r="G854" s="8"/>
      <c r="H854" s="8"/>
      <c r="I854" s="8"/>
      <c r="J854" s="8"/>
      <c r="K854" s="8"/>
      <c r="L854" s="8"/>
    </row>
    <row r="855" spans="7:12" x14ac:dyDescent="0.55000000000000004">
      <c r="G855" s="8"/>
      <c r="H855" s="8"/>
      <c r="I855" s="8"/>
      <c r="J855" s="8"/>
      <c r="K855" s="8"/>
      <c r="L855" s="8"/>
    </row>
    <row r="856" spans="7:12" x14ac:dyDescent="0.55000000000000004">
      <c r="G856" s="8"/>
      <c r="H856" s="8"/>
      <c r="I856" s="8"/>
      <c r="J856" s="8"/>
      <c r="K856" s="8"/>
      <c r="L856" s="8"/>
    </row>
    <row r="857" spans="7:12" x14ac:dyDescent="0.55000000000000004">
      <c r="G857" s="8"/>
      <c r="H857" s="8"/>
      <c r="I857" s="8"/>
      <c r="J857" s="8"/>
      <c r="K857" s="8"/>
      <c r="L857" s="8"/>
    </row>
    <row r="858" spans="7:12" x14ac:dyDescent="0.55000000000000004">
      <c r="G858" s="8"/>
      <c r="H858" s="8"/>
      <c r="I858" s="8"/>
      <c r="J858" s="8"/>
      <c r="K858" s="8"/>
      <c r="L858" s="8"/>
    </row>
    <row r="859" spans="7:12" x14ac:dyDescent="0.55000000000000004">
      <c r="G859" s="8"/>
      <c r="H859" s="8"/>
      <c r="I859" s="8"/>
      <c r="J859" s="8"/>
      <c r="K859" s="8"/>
      <c r="L859" s="8"/>
    </row>
    <row r="860" spans="7:12" x14ac:dyDescent="0.55000000000000004">
      <c r="G860" s="8"/>
      <c r="H860" s="8"/>
      <c r="I860" s="8"/>
      <c r="J860" s="8"/>
      <c r="K860" s="8"/>
      <c r="L860" s="8"/>
    </row>
    <row r="861" spans="7:12" x14ac:dyDescent="0.55000000000000004">
      <c r="G861" s="8"/>
      <c r="H861" s="8"/>
      <c r="I861" s="8"/>
      <c r="J861" s="8"/>
      <c r="K861" s="8"/>
      <c r="L861" s="8"/>
    </row>
    <row r="862" spans="7:12" x14ac:dyDescent="0.55000000000000004">
      <c r="G862" s="8"/>
      <c r="H862" s="8"/>
      <c r="I862" s="8"/>
      <c r="J862" s="8"/>
      <c r="K862" s="8"/>
      <c r="L862" s="8"/>
    </row>
    <row r="863" spans="7:12" x14ac:dyDescent="0.55000000000000004">
      <c r="G863" s="8"/>
      <c r="H863" s="8"/>
      <c r="I863" s="8"/>
      <c r="J863" s="8"/>
      <c r="K863" s="8"/>
      <c r="L863" s="8"/>
    </row>
    <row r="864" spans="7:12" x14ac:dyDescent="0.55000000000000004">
      <c r="G864" s="8"/>
      <c r="H864" s="8"/>
      <c r="I864" s="8"/>
      <c r="J864" s="8"/>
      <c r="K864" s="8"/>
      <c r="L864" s="8"/>
    </row>
    <row r="865" spans="7:12" x14ac:dyDescent="0.55000000000000004">
      <c r="G865" s="8"/>
      <c r="H865" s="8"/>
      <c r="I865" s="8"/>
      <c r="J865" s="8"/>
      <c r="K865" s="8"/>
      <c r="L865" s="8"/>
    </row>
    <row r="866" spans="7:12" x14ac:dyDescent="0.55000000000000004">
      <c r="G866" s="8"/>
      <c r="H866" s="8"/>
      <c r="I866" s="8"/>
      <c r="J866" s="8"/>
      <c r="K866" s="8"/>
      <c r="L866" s="8"/>
    </row>
    <row r="867" spans="7:12" x14ac:dyDescent="0.55000000000000004">
      <c r="G867" s="8"/>
      <c r="H867" s="8"/>
      <c r="I867" s="8"/>
      <c r="J867" s="8"/>
      <c r="K867" s="8"/>
      <c r="L867" s="8"/>
    </row>
    <row r="868" spans="7:12" x14ac:dyDescent="0.55000000000000004">
      <c r="G868" s="8"/>
      <c r="H868" s="8"/>
      <c r="I868" s="8"/>
      <c r="J868" s="8"/>
      <c r="K868" s="8"/>
      <c r="L868" s="8"/>
    </row>
    <row r="869" spans="7:12" x14ac:dyDescent="0.55000000000000004">
      <c r="G869" s="8"/>
      <c r="H869" s="8"/>
      <c r="I869" s="8"/>
      <c r="J869" s="8"/>
      <c r="K869" s="8"/>
      <c r="L869" s="8"/>
    </row>
    <row r="870" spans="7:12" x14ac:dyDescent="0.55000000000000004">
      <c r="G870" s="8"/>
      <c r="H870" s="8"/>
      <c r="I870" s="8"/>
      <c r="J870" s="8"/>
      <c r="K870" s="8"/>
      <c r="L870" s="8"/>
    </row>
    <row r="871" spans="7:12" x14ac:dyDescent="0.55000000000000004">
      <c r="G871" s="8"/>
      <c r="H871" s="8"/>
      <c r="I871" s="8"/>
      <c r="J871" s="8"/>
      <c r="K871" s="8"/>
      <c r="L871" s="8"/>
    </row>
    <row r="872" spans="7:12" x14ac:dyDescent="0.55000000000000004">
      <c r="G872" s="8"/>
      <c r="H872" s="8"/>
      <c r="I872" s="8"/>
      <c r="J872" s="8"/>
      <c r="K872" s="8"/>
      <c r="L872" s="8"/>
    </row>
    <row r="873" spans="7:12" x14ac:dyDescent="0.55000000000000004">
      <c r="G873" s="8"/>
      <c r="H873" s="8"/>
      <c r="I873" s="8"/>
      <c r="J873" s="8"/>
      <c r="K873" s="8"/>
      <c r="L873" s="8"/>
    </row>
    <row r="874" spans="7:12" x14ac:dyDescent="0.55000000000000004">
      <c r="G874" s="8"/>
      <c r="H874" s="8"/>
      <c r="I874" s="8"/>
      <c r="J874" s="8"/>
      <c r="K874" s="8"/>
      <c r="L874" s="8"/>
    </row>
    <row r="875" spans="7:12" x14ac:dyDescent="0.55000000000000004">
      <c r="G875" s="8"/>
      <c r="H875" s="8"/>
      <c r="I875" s="8"/>
      <c r="J875" s="8"/>
      <c r="K875" s="8"/>
      <c r="L875" s="8"/>
    </row>
    <row r="876" spans="7:12" x14ac:dyDescent="0.55000000000000004">
      <c r="G876" s="8"/>
      <c r="H876" s="8"/>
      <c r="I876" s="8"/>
      <c r="J876" s="8"/>
      <c r="K876" s="8"/>
      <c r="L876" s="8"/>
    </row>
    <row r="877" spans="7:12" x14ac:dyDescent="0.55000000000000004">
      <c r="G877" s="8"/>
      <c r="H877" s="8"/>
      <c r="I877" s="8"/>
      <c r="J877" s="8"/>
      <c r="K877" s="8"/>
      <c r="L877" s="8"/>
    </row>
    <row r="878" spans="7:12" x14ac:dyDescent="0.55000000000000004">
      <c r="G878" s="8"/>
      <c r="H878" s="8"/>
      <c r="I878" s="8"/>
      <c r="J878" s="8"/>
      <c r="K878" s="8"/>
      <c r="L878" s="8"/>
    </row>
    <row r="879" spans="7:12" x14ac:dyDescent="0.55000000000000004">
      <c r="G879" s="8"/>
      <c r="H879" s="8"/>
      <c r="I879" s="8"/>
      <c r="J879" s="8"/>
      <c r="K879" s="8"/>
      <c r="L879" s="8"/>
    </row>
    <row r="880" spans="7:12" x14ac:dyDescent="0.55000000000000004">
      <c r="G880" s="8"/>
      <c r="H880" s="8"/>
      <c r="I880" s="8"/>
      <c r="J880" s="8"/>
      <c r="K880" s="8"/>
      <c r="L880" s="8"/>
    </row>
    <row r="881" spans="7:12" x14ac:dyDescent="0.55000000000000004">
      <c r="G881" s="8"/>
      <c r="H881" s="8"/>
      <c r="I881" s="8"/>
      <c r="J881" s="8"/>
      <c r="K881" s="8"/>
      <c r="L881" s="8"/>
    </row>
    <row r="882" spans="7:12" x14ac:dyDescent="0.55000000000000004">
      <c r="G882" s="8"/>
      <c r="H882" s="8"/>
      <c r="I882" s="8"/>
      <c r="J882" s="8"/>
      <c r="K882" s="8"/>
      <c r="L882" s="8"/>
    </row>
    <row r="883" spans="7:12" x14ac:dyDescent="0.55000000000000004">
      <c r="G883" s="8"/>
      <c r="H883" s="8"/>
      <c r="I883" s="8"/>
      <c r="J883" s="8"/>
      <c r="K883" s="8"/>
      <c r="L883" s="8"/>
    </row>
    <row r="884" spans="7:12" x14ac:dyDescent="0.55000000000000004">
      <c r="G884" s="8"/>
      <c r="H884" s="8"/>
      <c r="I884" s="8"/>
      <c r="J884" s="8"/>
      <c r="K884" s="8"/>
      <c r="L884" s="8"/>
    </row>
    <row r="885" spans="7:12" x14ac:dyDescent="0.55000000000000004">
      <c r="G885" s="8"/>
      <c r="H885" s="8"/>
      <c r="I885" s="8"/>
      <c r="J885" s="8"/>
      <c r="K885" s="8"/>
      <c r="L885" s="8"/>
    </row>
    <row r="886" spans="7:12" x14ac:dyDescent="0.55000000000000004">
      <c r="G886" s="8"/>
      <c r="H886" s="8"/>
      <c r="I886" s="8"/>
      <c r="J886" s="8"/>
      <c r="K886" s="8"/>
      <c r="L886" s="8"/>
    </row>
    <row r="887" spans="7:12" x14ac:dyDescent="0.55000000000000004">
      <c r="G887" s="8"/>
      <c r="H887" s="8"/>
      <c r="I887" s="8"/>
      <c r="J887" s="8"/>
      <c r="K887" s="8"/>
      <c r="L887" s="8"/>
    </row>
    <row r="888" spans="7:12" x14ac:dyDescent="0.55000000000000004">
      <c r="G888" s="8"/>
      <c r="H888" s="8"/>
      <c r="I888" s="8"/>
      <c r="J888" s="8"/>
      <c r="K888" s="8"/>
      <c r="L888" s="8"/>
    </row>
    <row r="889" spans="7:12" x14ac:dyDescent="0.55000000000000004">
      <c r="G889" s="8"/>
      <c r="H889" s="8"/>
      <c r="I889" s="8"/>
      <c r="J889" s="8"/>
      <c r="K889" s="8"/>
      <c r="L889" s="8"/>
    </row>
    <row r="890" spans="7:12" x14ac:dyDescent="0.55000000000000004">
      <c r="G890" s="8"/>
      <c r="H890" s="8"/>
      <c r="I890" s="8"/>
      <c r="J890" s="8"/>
      <c r="K890" s="8"/>
      <c r="L890" s="8"/>
    </row>
    <row r="891" spans="7:12" x14ac:dyDescent="0.55000000000000004">
      <c r="G891" s="8"/>
      <c r="H891" s="8"/>
      <c r="I891" s="8"/>
      <c r="J891" s="8"/>
      <c r="K891" s="8"/>
      <c r="L891" s="8"/>
    </row>
    <row r="892" spans="7:12" x14ac:dyDescent="0.55000000000000004">
      <c r="G892" s="8"/>
      <c r="H892" s="8"/>
      <c r="I892" s="8"/>
      <c r="J892" s="8"/>
      <c r="K892" s="8"/>
      <c r="L892" s="8"/>
    </row>
    <row r="893" spans="7:12" x14ac:dyDescent="0.55000000000000004">
      <c r="G893" s="8"/>
      <c r="H893" s="8"/>
      <c r="I893" s="8"/>
      <c r="J893" s="8"/>
      <c r="K893" s="8"/>
      <c r="L893" s="8"/>
    </row>
    <row r="894" spans="7:12" x14ac:dyDescent="0.55000000000000004">
      <c r="G894" s="8"/>
      <c r="H894" s="8"/>
      <c r="I894" s="8"/>
      <c r="J894" s="8"/>
      <c r="K894" s="8"/>
      <c r="L894" s="8"/>
    </row>
    <row r="895" spans="7:12" x14ac:dyDescent="0.55000000000000004">
      <c r="G895" s="8"/>
      <c r="H895" s="8"/>
      <c r="I895" s="8"/>
      <c r="J895" s="8"/>
      <c r="K895" s="8"/>
      <c r="L895" s="8"/>
    </row>
    <row r="896" spans="7:12" x14ac:dyDescent="0.55000000000000004">
      <c r="G896" s="8"/>
      <c r="H896" s="8"/>
      <c r="I896" s="8"/>
      <c r="J896" s="8"/>
      <c r="K896" s="8"/>
      <c r="L896" s="8"/>
    </row>
    <row r="897" spans="7:12" x14ac:dyDescent="0.55000000000000004">
      <c r="G897" s="8"/>
      <c r="H897" s="8"/>
      <c r="I897" s="8"/>
      <c r="J897" s="8"/>
      <c r="K897" s="8"/>
      <c r="L897" s="8"/>
    </row>
    <row r="898" spans="7:12" x14ac:dyDescent="0.55000000000000004">
      <c r="G898" s="8"/>
      <c r="H898" s="8"/>
      <c r="I898" s="8"/>
      <c r="J898" s="8"/>
      <c r="K898" s="8"/>
      <c r="L898" s="8"/>
    </row>
    <row r="899" spans="7:12" x14ac:dyDescent="0.55000000000000004">
      <c r="G899" s="8"/>
      <c r="H899" s="8"/>
      <c r="I899" s="8"/>
      <c r="J899" s="8"/>
      <c r="K899" s="8"/>
      <c r="L899" s="8"/>
    </row>
    <row r="900" spans="7:12" x14ac:dyDescent="0.55000000000000004">
      <c r="G900" s="8"/>
      <c r="H900" s="8"/>
      <c r="I900" s="8"/>
      <c r="J900" s="8"/>
      <c r="K900" s="8"/>
      <c r="L900" s="8"/>
    </row>
    <row r="901" spans="7:12" x14ac:dyDescent="0.55000000000000004">
      <c r="G901" s="8"/>
      <c r="H901" s="8"/>
      <c r="I901" s="8"/>
      <c r="J901" s="8"/>
      <c r="K901" s="8"/>
      <c r="L901" s="8"/>
    </row>
    <row r="902" spans="7:12" x14ac:dyDescent="0.55000000000000004">
      <c r="G902" s="8"/>
      <c r="H902" s="8"/>
      <c r="I902" s="8"/>
      <c r="J902" s="8"/>
      <c r="K902" s="8"/>
      <c r="L902" s="8"/>
    </row>
    <row r="903" spans="7:12" x14ac:dyDescent="0.55000000000000004">
      <c r="G903" s="8"/>
      <c r="H903" s="8"/>
      <c r="I903" s="8"/>
      <c r="J903" s="8"/>
      <c r="K903" s="8"/>
      <c r="L903" s="8"/>
    </row>
    <row r="904" spans="7:12" x14ac:dyDescent="0.55000000000000004">
      <c r="G904" s="8"/>
      <c r="H904" s="8"/>
      <c r="I904" s="8"/>
      <c r="J904" s="8"/>
      <c r="K904" s="8"/>
      <c r="L904" s="8"/>
    </row>
    <row r="905" spans="7:12" x14ac:dyDescent="0.55000000000000004">
      <c r="G905" s="8"/>
      <c r="H905" s="8"/>
      <c r="I905" s="8"/>
      <c r="J905" s="8"/>
      <c r="K905" s="8"/>
      <c r="L905" s="8"/>
    </row>
    <row r="906" spans="7:12" x14ac:dyDescent="0.55000000000000004">
      <c r="G906" s="8"/>
      <c r="H906" s="8"/>
      <c r="I906" s="8"/>
      <c r="J906" s="8"/>
      <c r="K906" s="8"/>
      <c r="L906" s="8"/>
    </row>
    <row r="907" spans="7:12" x14ac:dyDescent="0.55000000000000004">
      <c r="G907" s="8"/>
      <c r="H907" s="8"/>
      <c r="I907" s="8"/>
      <c r="J907" s="8"/>
      <c r="K907" s="8"/>
      <c r="L907" s="8"/>
    </row>
    <row r="908" spans="7:12" x14ac:dyDescent="0.55000000000000004">
      <c r="G908" s="8"/>
      <c r="H908" s="8"/>
      <c r="I908" s="8"/>
      <c r="J908" s="8"/>
      <c r="K908" s="8"/>
      <c r="L908" s="8"/>
    </row>
    <row r="909" spans="7:12" x14ac:dyDescent="0.55000000000000004">
      <c r="G909" s="8"/>
      <c r="H909" s="8"/>
      <c r="I909" s="8"/>
      <c r="J909" s="8"/>
      <c r="K909" s="8"/>
      <c r="L909" s="8"/>
    </row>
    <row r="910" spans="7:12" x14ac:dyDescent="0.55000000000000004">
      <c r="G910" s="8"/>
      <c r="H910" s="8"/>
      <c r="I910" s="8"/>
      <c r="J910" s="8"/>
      <c r="K910" s="8"/>
      <c r="L910" s="8"/>
    </row>
    <row r="911" spans="7:12" x14ac:dyDescent="0.55000000000000004">
      <c r="G911" s="8"/>
      <c r="H911" s="8"/>
      <c r="I911" s="8"/>
      <c r="J911" s="8"/>
      <c r="K911" s="8"/>
      <c r="L911" s="8"/>
    </row>
    <row r="912" spans="7:12" x14ac:dyDescent="0.55000000000000004">
      <c r="G912" s="8"/>
      <c r="H912" s="8"/>
      <c r="I912" s="8"/>
      <c r="J912" s="8"/>
      <c r="K912" s="8"/>
      <c r="L912" s="8"/>
    </row>
    <row r="913" spans="7:12" x14ac:dyDescent="0.55000000000000004">
      <c r="G913" s="8"/>
      <c r="H913" s="8"/>
      <c r="I913" s="8"/>
      <c r="J913" s="8"/>
      <c r="K913" s="8"/>
      <c r="L913" s="8"/>
    </row>
    <row r="914" spans="7:12" x14ac:dyDescent="0.55000000000000004">
      <c r="G914" s="8"/>
      <c r="H914" s="8"/>
      <c r="I914" s="8"/>
      <c r="J914" s="8"/>
      <c r="K914" s="8"/>
      <c r="L914" s="8"/>
    </row>
    <row r="915" spans="7:12" x14ac:dyDescent="0.55000000000000004">
      <c r="G915" s="8"/>
      <c r="H915" s="8"/>
      <c r="I915" s="8"/>
      <c r="J915" s="8"/>
      <c r="K915" s="8"/>
      <c r="L915" s="8"/>
    </row>
    <row r="916" spans="7:12" x14ac:dyDescent="0.55000000000000004">
      <c r="G916" s="8"/>
      <c r="H916" s="8"/>
      <c r="I916" s="8"/>
      <c r="J916" s="8"/>
      <c r="K916" s="8"/>
      <c r="L916" s="8"/>
    </row>
    <row r="917" spans="7:12" x14ac:dyDescent="0.55000000000000004">
      <c r="G917" s="8"/>
      <c r="H917" s="8"/>
      <c r="I917" s="8"/>
      <c r="J917" s="8"/>
      <c r="K917" s="8"/>
      <c r="L917" s="8"/>
    </row>
    <row r="918" spans="7:12" x14ac:dyDescent="0.55000000000000004">
      <c r="G918" s="8"/>
      <c r="H918" s="8"/>
      <c r="I918" s="8"/>
      <c r="J918" s="8"/>
      <c r="K918" s="8"/>
      <c r="L918" s="8"/>
    </row>
    <row r="919" spans="7:12" x14ac:dyDescent="0.55000000000000004">
      <c r="G919" s="8"/>
      <c r="H919" s="8"/>
      <c r="I919" s="8"/>
      <c r="J919" s="8"/>
      <c r="K919" s="8"/>
      <c r="L919" s="8"/>
    </row>
    <row r="920" spans="7:12" x14ac:dyDescent="0.55000000000000004">
      <c r="G920" s="8"/>
      <c r="H920" s="8"/>
      <c r="I920" s="8"/>
      <c r="J920" s="8"/>
      <c r="K920" s="8"/>
      <c r="L920" s="8"/>
    </row>
    <row r="921" spans="7:12" x14ac:dyDescent="0.55000000000000004">
      <c r="G921" s="8"/>
      <c r="H921" s="8"/>
      <c r="I921" s="8"/>
      <c r="J921" s="8"/>
      <c r="K921" s="8"/>
      <c r="L921" s="8"/>
    </row>
    <row r="922" spans="7:12" x14ac:dyDescent="0.55000000000000004">
      <c r="G922" s="8"/>
      <c r="H922" s="8"/>
      <c r="I922" s="8"/>
      <c r="J922" s="8"/>
      <c r="K922" s="8"/>
      <c r="L922" s="8"/>
    </row>
    <row r="923" spans="7:12" x14ac:dyDescent="0.55000000000000004">
      <c r="G923" s="8"/>
      <c r="H923" s="8"/>
      <c r="I923" s="8"/>
      <c r="J923" s="8"/>
      <c r="K923" s="8"/>
      <c r="L923" s="8"/>
    </row>
    <row r="924" spans="7:12" x14ac:dyDescent="0.55000000000000004">
      <c r="G924" s="8"/>
      <c r="H924" s="8"/>
      <c r="I924" s="8"/>
      <c r="J924" s="8"/>
      <c r="K924" s="8"/>
      <c r="L924" s="8"/>
    </row>
    <row r="925" spans="7:12" x14ac:dyDescent="0.55000000000000004">
      <c r="G925" s="8"/>
      <c r="H925" s="8"/>
      <c r="I925" s="8"/>
      <c r="J925" s="8"/>
      <c r="K925" s="8"/>
      <c r="L925" s="8"/>
    </row>
    <row r="926" spans="7:12" x14ac:dyDescent="0.55000000000000004">
      <c r="G926" s="8"/>
      <c r="H926" s="8"/>
      <c r="I926" s="8"/>
      <c r="J926" s="8"/>
      <c r="K926" s="8"/>
      <c r="L926" s="8"/>
    </row>
    <row r="927" spans="7:12" x14ac:dyDescent="0.55000000000000004">
      <c r="G927" s="8"/>
      <c r="H927" s="8"/>
      <c r="I927" s="8"/>
      <c r="J927" s="8"/>
      <c r="K927" s="8"/>
      <c r="L927" s="8"/>
    </row>
    <row r="928" spans="7:12" x14ac:dyDescent="0.55000000000000004">
      <c r="G928" s="8"/>
      <c r="H928" s="8"/>
      <c r="I928" s="8"/>
      <c r="J928" s="8"/>
      <c r="K928" s="8"/>
      <c r="L928" s="8"/>
    </row>
    <row r="929" spans="7:12" x14ac:dyDescent="0.55000000000000004">
      <c r="G929" s="8"/>
      <c r="H929" s="8"/>
      <c r="I929" s="8"/>
      <c r="J929" s="8"/>
      <c r="K929" s="8"/>
      <c r="L929" s="8"/>
    </row>
    <row r="930" spans="7:12" x14ac:dyDescent="0.55000000000000004">
      <c r="G930" s="8"/>
      <c r="H930" s="8"/>
      <c r="I930" s="8"/>
      <c r="J930" s="8"/>
      <c r="K930" s="8"/>
      <c r="L930" s="8"/>
    </row>
    <row r="931" spans="7:12" x14ac:dyDescent="0.55000000000000004">
      <c r="G931" s="8"/>
      <c r="H931" s="8"/>
      <c r="I931" s="8"/>
      <c r="J931" s="8"/>
      <c r="K931" s="8"/>
      <c r="L931" s="8"/>
    </row>
    <row r="932" spans="7:12" x14ac:dyDescent="0.55000000000000004">
      <c r="G932" s="8"/>
      <c r="H932" s="8"/>
      <c r="I932" s="8"/>
      <c r="J932" s="8"/>
      <c r="K932" s="8"/>
      <c r="L932" s="8"/>
    </row>
    <row r="933" spans="7:12" x14ac:dyDescent="0.55000000000000004">
      <c r="G933" s="8"/>
      <c r="H933" s="8"/>
      <c r="I933" s="8"/>
      <c r="J933" s="8"/>
      <c r="K933" s="8"/>
      <c r="L933" s="8"/>
    </row>
    <row r="934" spans="7:12" x14ac:dyDescent="0.55000000000000004">
      <c r="G934" s="8"/>
      <c r="H934" s="8"/>
      <c r="I934" s="8"/>
      <c r="J934" s="8"/>
      <c r="K934" s="8"/>
      <c r="L934" s="8"/>
    </row>
    <row r="935" spans="7:12" x14ac:dyDescent="0.55000000000000004">
      <c r="G935" s="8"/>
      <c r="H935" s="8"/>
      <c r="I935" s="8"/>
      <c r="J935" s="8"/>
      <c r="K935" s="8"/>
      <c r="L935" s="8"/>
    </row>
    <row r="936" spans="7:12" x14ac:dyDescent="0.55000000000000004">
      <c r="G936" s="8"/>
      <c r="H936" s="8"/>
      <c r="I936" s="8"/>
      <c r="J936" s="8"/>
      <c r="K936" s="8"/>
      <c r="L936" s="8"/>
    </row>
    <row r="937" spans="7:12" x14ac:dyDescent="0.55000000000000004">
      <c r="G937" s="8"/>
      <c r="H937" s="8"/>
      <c r="I937" s="8"/>
      <c r="J937" s="8"/>
      <c r="K937" s="8"/>
      <c r="L937" s="8"/>
    </row>
    <row r="938" spans="7:12" x14ac:dyDescent="0.55000000000000004">
      <c r="G938" s="8"/>
      <c r="H938" s="8"/>
      <c r="I938" s="8"/>
      <c r="J938" s="8"/>
      <c r="K938" s="8"/>
      <c r="L938" s="8"/>
    </row>
    <row r="939" spans="7:12" x14ac:dyDescent="0.55000000000000004">
      <c r="G939" s="8"/>
      <c r="H939" s="8"/>
      <c r="I939" s="8"/>
      <c r="J939" s="8"/>
      <c r="K939" s="8"/>
      <c r="L939" s="8"/>
    </row>
    <row r="940" spans="7:12" x14ac:dyDescent="0.55000000000000004">
      <c r="G940" s="8"/>
      <c r="H940" s="8"/>
      <c r="I940" s="8"/>
      <c r="J940" s="8"/>
      <c r="K940" s="8"/>
      <c r="L940" s="8"/>
    </row>
    <row r="941" spans="7:12" x14ac:dyDescent="0.55000000000000004">
      <c r="G941" s="8"/>
      <c r="H941" s="8"/>
      <c r="I941" s="8"/>
      <c r="J941" s="8"/>
      <c r="K941" s="8"/>
      <c r="L941" s="8"/>
    </row>
    <row r="942" spans="7:12" x14ac:dyDescent="0.55000000000000004">
      <c r="G942" s="8"/>
      <c r="H942" s="8"/>
      <c r="I942" s="8"/>
      <c r="J942" s="8"/>
      <c r="K942" s="8"/>
      <c r="L942" s="8"/>
    </row>
    <row r="943" spans="7:12" x14ac:dyDescent="0.55000000000000004">
      <c r="G943" s="8"/>
      <c r="H943" s="8"/>
      <c r="I943" s="8"/>
      <c r="J943" s="8"/>
      <c r="K943" s="8"/>
      <c r="L943" s="8"/>
    </row>
    <row r="944" spans="7:12" x14ac:dyDescent="0.55000000000000004">
      <c r="G944" s="8"/>
      <c r="H944" s="8"/>
      <c r="I944" s="8"/>
      <c r="J944" s="8"/>
      <c r="K944" s="8"/>
      <c r="L944" s="8"/>
    </row>
    <row r="945" spans="7:12" x14ac:dyDescent="0.55000000000000004">
      <c r="G945" s="8"/>
      <c r="H945" s="8"/>
      <c r="I945" s="8"/>
      <c r="J945" s="8"/>
      <c r="K945" s="8"/>
      <c r="L945" s="8"/>
    </row>
    <row r="946" spans="7:12" x14ac:dyDescent="0.55000000000000004">
      <c r="G946" s="8"/>
      <c r="H946" s="8"/>
      <c r="I946" s="8"/>
      <c r="J946" s="8"/>
      <c r="K946" s="8"/>
      <c r="L946" s="8"/>
    </row>
    <row r="947" spans="7:12" x14ac:dyDescent="0.55000000000000004">
      <c r="G947" s="8"/>
      <c r="H947" s="8"/>
      <c r="I947" s="8"/>
      <c r="J947" s="8"/>
      <c r="K947" s="8"/>
      <c r="L947" s="8"/>
    </row>
    <row r="948" spans="7:12" x14ac:dyDescent="0.55000000000000004">
      <c r="G948" s="8"/>
      <c r="H948" s="8"/>
      <c r="I948" s="8"/>
      <c r="J948" s="8"/>
      <c r="K948" s="8"/>
      <c r="L948" s="8"/>
    </row>
    <row r="949" spans="7:12" x14ac:dyDescent="0.55000000000000004">
      <c r="G949" s="8"/>
      <c r="H949" s="8"/>
      <c r="I949" s="8"/>
      <c r="J949" s="8"/>
      <c r="K949" s="8"/>
      <c r="L949" s="8"/>
    </row>
    <row r="950" spans="7:12" x14ac:dyDescent="0.55000000000000004">
      <c r="G950" s="8"/>
      <c r="H950" s="8"/>
      <c r="I950" s="8"/>
      <c r="J950" s="8"/>
      <c r="K950" s="8"/>
      <c r="L950" s="8"/>
    </row>
    <row r="951" spans="7:12" x14ac:dyDescent="0.55000000000000004">
      <c r="G951" s="8"/>
      <c r="H951" s="8"/>
      <c r="I951" s="8"/>
      <c r="J951" s="8"/>
      <c r="K951" s="8"/>
      <c r="L951" s="8"/>
    </row>
    <row r="952" spans="7:12" x14ac:dyDescent="0.55000000000000004">
      <c r="G952" s="8"/>
      <c r="H952" s="8"/>
      <c r="I952" s="8"/>
      <c r="J952" s="8"/>
      <c r="K952" s="8"/>
      <c r="L952" s="8"/>
    </row>
    <row r="953" spans="7:12" x14ac:dyDescent="0.55000000000000004">
      <c r="G953" s="8"/>
      <c r="H953" s="8"/>
      <c r="I953" s="8"/>
      <c r="J953" s="8"/>
      <c r="K953" s="8"/>
      <c r="L953" s="8"/>
    </row>
    <row r="954" spans="7:12" x14ac:dyDescent="0.55000000000000004">
      <c r="G954" s="8"/>
      <c r="H954" s="8"/>
      <c r="I954" s="8"/>
      <c r="J954" s="8"/>
      <c r="K954" s="8"/>
      <c r="L954" s="8"/>
    </row>
    <row r="955" spans="7:12" x14ac:dyDescent="0.55000000000000004">
      <c r="G955" s="8"/>
      <c r="H955" s="8"/>
      <c r="I955" s="8"/>
      <c r="J955" s="8"/>
      <c r="K955" s="8"/>
      <c r="L955" s="8"/>
    </row>
    <row r="956" spans="7:12" x14ac:dyDescent="0.55000000000000004">
      <c r="G956" s="8"/>
      <c r="H956" s="8"/>
      <c r="I956" s="8"/>
      <c r="J956" s="8"/>
      <c r="K956" s="8"/>
      <c r="L956" s="8"/>
    </row>
    <row r="957" spans="7:12" x14ac:dyDescent="0.55000000000000004">
      <c r="G957" s="8"/>
      <c r="H957" s="8"/>
      <c r="I957" s="8"/>
      <c r="J957" s="8"/>
      <c r="K957" s="8"/>
      <c r="L957" s="8"/>
    </row>
    <row r="958" spans="7:12" x14ac:dyDescent="0.55000000000000004">
      <c r="G958" s="8"/>
      <c r="H958" s="8"/>
      <c r="I958" s="8"/>
      <c r="J958" s="8"/>
      <c r="K958" s="8"/>
      <c r="L958" s="8"/>
    </row>
    <row r="959" spans="7:12" x14ac:dyDescent="0.55000000000000004">
      <c r="G959" s="8"/>
      <c r="H959" s="8"/>
      <c r="I959" s="8"/>
      <c r="J959" s="8"/>
      <c r="K959" s="8"/>
      <c r="L959" s="8"/>
    </row>
    <row r="960" spans="7:12" x14ac:dyDescent="0.55000000000000004">
      <c r="G960" s="8"/>
      <c r="H960" s="8"/>
      <c r="I960" s="8"/>
      <c r="J960" s="8"/>
      <c r="K960" s="8"/>
      <c r="L960" s="8"/>
    </row>
    <row r="961" spans="7:12" x14ac:dyDescent="0.55000000000000004">
      <c r="G961" s="8"/>
      <c r="H961" s="8"/>
      <c r="I961" s="8"/>
      <c r="J961" s="8"/>
      <c r="K961" s="8"/>
      <c r="L961" s="8"/>
    </row>
    <row r="962" spans="7:12" x14ac:dyDescent="0.55000000000000004">
      <c r="G962" s="8"/>
      <c r="H962" s="8"/>
      <c r="I962" s="8"/>
      <c r="J962" s="8"/>
      <c r="K962" s="8"/>
      <c r="L962" s="8"/>
    </row>
    <row r="963" spans="7:12" x14ac:dyDescent="0.55000000000000004">
      <c r="G963" s="8"/>
      <c r="H963" s="8"/>
      <c r="I963" s="8"/>
      <c r="J963" s="8"/>
      <c r="K963" s="8"/>
      <c r="L963" s="8"/>
    </row>
    <row r="964" spans="7:12" x14ac:dyDescent="0.55000000000000004">
      <c r="G964" s="8"/>
      <c r="H964" s="8"/>
      <c r="I964" s="8"/>
      <c r="J964" s="8"/>
      <c r="K964" s="8"/>
      <c r="L964" s="8"/>
    </row>
    <row r="965" spans="7:12" x14ac:dyDescent="0.55000000000000004">
      <c r="G965" s="8"/>
      <c r="H965" s="8"/>
      <c r="I965" s="8"/>
      <c r="J965" s="8"/>
      <c r="K965" s="8"/>
      <c r="L965" s="8"/>
    </row>
    <row r="966" spans="7:12" x14ac:dyDescent="0.55000000000000004">
      <c r="G966" s="8"/>
      <c r="H966" s="8"/>
      <c r="I966" s="8"/>
      <c r="J966" s="8"/>
      <c r="K966" s="8"/>
      <c r="L966" s="8"/>
    </row>
    <row r="967" spans="7:12" x14ac:dyDescent="0.55000000000000004">
      <c r="G967" s="8"/>
      <c r="H967" s="8"/>
      <c r="I967" s="8"/>
      <c r="J967" s="8"/>
      <c r="K967" s="8"/>
      <c r="L967" s="8"/>
    </row>
    <row r="968" spans="7:12" x14ac:dyDescent="0.55000000000000004">
      <c r="G968" s="8"/>
      <c r="H968" s="8"/>
      <c r="I968" s="8"/>
      <c r="J968" s="8"/>
      <c r="K968" s="8"/>
      <c r="L968" s="8"/>
    </row>
    <row r="969" spans="7:12" x14ac:dyDescent="0.55000000000000004">
      <c r="G969" s="8"/>
      <c r="H969" s="8"/>
      <c r="I969" s="8"/>
      <c r="J969" s="8"/>
      <c r="K969" s="8"/>
      <c r="L969" s="8"/>
    </row>
    <row r="970" spans="7:12" x14ac:dyDescent="0.55000000000000004">
      <c r="G970" s="8"/>
      <c r="H970" s="8"/>
      <c r="I970" s="8"/>
      <c r="J970" s="8"/>
      <c r="K970" s="8"/>
      <c r="L970" s="8"/>
    </row>
    <row r="971" spans="7:12" x14ac:dyDescent="0.55000000000000004">
      <c r="G971" s="8"/>
      <c r="H971" s="8"/>
      <c r="I971" s="8"/>
      <c r="J971" s="8"/>
      <c r="K971" s="8"/>
      <c r="L971" s="8"/>
    </row>
    <row r="972" spans="7:12" x14ac:dyDescent="0.55000000000000004">
      <c r="G972" s="8"/>
      <c r="H972" s="8"/>
      <c r="I972" s="8"/>
      <c r="J972" s="8"/>
      <c r="K972" s="8"/>
      <c r="L972" s="8"/>
    </row>
    <row r="973" spans="7:12" x14ac:dyDescent="0.55000000000000004">
      <c r="G973" s="8"/>
      <c r="H973" s="8"/>
      <c r="I973" s="8"/>
      <c r="J973" s="8"/>
      <c r="K973" s="8"/>
      <c r="L973" s="8"/>
    </row>
    <row r="974" spans="7:12" x14ac:dyDescent="0.55000000000000004">
      <c r="G974" s="8"/>
      <c r="H974" s="8"/>
      <c r="I974" s="8"/>
      <c r="J974" s="8"/>
      <c r="K974" s="8"/>
      <c r="L974" s="8"/>
    </row>
    <row r="975" spans="7:12" x14ac:dyDescent="0.55000000000000004">
      <c r="G975" s="8"/>
      <c r="H975" s="8"/>
      <c r="I975" s="8"/>
      <c r="J975" s="8"/>
      <c r="K975" s="8"/>
      <c r="L975" s="8"/>
    </row>
    <row r="976" spans="7:12" x14ac:dyDescent="0.55000000000000004">
      <c r="G976" s="8"/>
      <c r="H976" s="8"/>
      <c r="I976" s="8"/>
      <c r="J976" s="8"/>
      <c r="K976" s="8"/>
      <c r="L976" s="8"/>
    </row>
    <row r="977" spans="7:12" x14ac:dyDescent="0.55000000000000004">
      <c r="G977" s="8"/>
      <c r="H977" s="8"/>
      <c r="I977" s="8"/>
      <c r="J977" s="8"/>
      <c r="K977" s="8"/>
      <c r="L977" s="8"/>
    </row>
    <row r="978" spans="7:12" x14ac:dyDescent="0.55000000000000004">
      <c r="G978" s="8"/>
      <c r="H978" s="8"/>
      <c r="I978" s="8"/>
      <c r="J978" s="8"/>
      <c r="K978" s="8"/>
      <c r="L978" s="8"/>
    </row>
    <row r="979" spans="7:12" x14ac:dyDescent="0.55000000000000004">
      <c r="G979" s="8"/>
      <c r="H979" s="8"/>
      <c r="I979" s="8"/>
      <c r="J979" s="8"/>
      <c r="K979" s="8"/>
      <c r="L979" s="8"/>
    </row>
    <row r="980" spans="7:12" x14ac:dyDescent="0.55000000000000004">
      <c r="G980" s="8"/>
      <c r="H980" s="8"/>
      <c r="I980" s="8"/>
      <c r="J980" s="8"/>
      <c r="K980" s="8"/>
      <c r="L980" s="8"/>
    </row>
    <row r="981" spans="7:12" x14ac:dyDescent="0.55000000000000004">
      <c r="G981" s="8"/>
      <c r="H981" s="8"/>
      <c r="I981" s="8"/>
      <c r="J981" s="8"/>
      <c r="K981" s="8"/>
      <c r="L981" s="8"/>
    </row>
    <row r="982" spans="7:12" x14ac:dyDescent="0.55000000000000004">
      <c r="G982" s="8"/>
      <c r="H982" s="8"/>
      <c r="I982" s="8"/>
      <c r="J982" s="8"/>
      <c r="K982" s="8"/>
      <c r="L982" s="8"/>
    </row>
    <row r="983" spans="7:12" x14ac:dyDescent="0.55000000000000004">
      <c r="G983" s="8"/>
      <c r="H983" s="8"/>
      <c r="I983" s="8"/>
      <c r="J983" s="8"/>
      <c r="K983" s="8"/>
      <c r="L983" s="8"/>
    </row>
    <row r="984" spans="7:12" x14ac:dyDescent="0.55000000000000004">
      <c r="G984" s="8"/>
      <c r="H984" s="8"/>
      <c r="I984" s="8"/>
      <c r="J984" s="8"/>
      <c r="K984" s="8"/>
      <c r="L984" s="8"/>
    </row>
    <row r="985" spans="7:12" x14ac:dyDescent="0.55000000000000004">
      <c r="G985" s="8"/>
      <c r="H985" s="8"/>
      <c r="I985" s="8"/>
      <c r="J985" s="8"/>
      <c r="K985" s="8"/>
      <c r="L985" s="8"/>
    </row>
    <row r="986" spans="7:12" x14ac:dyDescent="0.55000000000000004">
      <c r="G986" s="8"/>
      <c r="H986" s="8"/>
      <c r="I986" s="8"/>
      <c r="J986" s="8"/>
      <c r="K986" s="8"/>
      <c r="L986" s="8"/>
    </row>
    <row r="987" spans="7:12" x14ac:dyDescent="0.55000000000000004">
      <c r="G987" s="8"/>
      <c r="H987" s="8"/>
      <c r="I987" s="8"/>
      <c r="J987" s="8"/>
      <c r="K987" s="8"/>
      <c r="L987" s="8"/>
    </row>
    <row r="988" spans="7:12" x14ac:dyDescent="0.55000000000000004">
      <c r="G988" s="8"/>
      <c r="H988" s="8"/>
      <c r="I988" s="8"/>
      <c r="J988" s="8"/>
      <c r="K988" s="8"/>
      <c r="L988" s="8"/>
    </row>
    <row r="989" spans="7:12" x14ac:dyDescent="0.55000000000000004">
      <c r="G989" s="8"/>
      <c r="H989" s="8"/>
      <c r="I989" s="8"/>
      <c r="J989" s="8"/>
      <c r="K989" s="8"/>
      <c r="L989" s="8"/>
    </row>
    <row r="990" spans="7:12" x14ac:dyDescent="0.55000000000000004">
      <c r="G990" s="8"/>
      <c r="H990" s="8"/>
      <c r="I990" s="8"/>
      <c r="J990" s="8"/>
      <c r="K990" s="8"/>
      <c r="L990" s="8"/>
    </row>
    <row r="991" spans="7:12" x14ac:dyDescent="0.55000000000000004">
      <c r="G991" s="8"/>
      <c r="H991" s="8"/>
      <c r="I991" s="8"/>
      <c r="J991" s="8"/>
      <c r="K991" s="8"/>
      <c r="L991" s="8"/>
    </row>
    <row r="992" spans="7:12" x14ac:dyDescent="0.55000000000000004">
      <c r="G992" s="8"/>
      <c r="H992" s="8"/>
      <c r="I992" s="8"/>
      <c r="J992" s="8"/>
      <c r="K992" s="8"/>
      <c r="L992" s="8"/>
    </row>
    <row r="993" spans="7:12" x14ac:dyDescent="0.55000000000000004">
      <c r="G993" s="8"/>
      <c r="H993" s="8"/>
      <c r="I993" s="8"/>
      <c r="J993" s="8"/>
      <c r="K993" s="8"/>
      <c r="L993" s="8"/>
    </row>
    <row r="994" spans="7:12" x14ac:dyDescent="0.55000000000000004">
      <c r="G994" s="8"/>
      <c r="H994" s="8"/>
      <c r="I994" s="8"/>
      <c r="J994" s="8"/>
      <c r="K994" s="8"/>
      <c r="L994" s="8"/>
    </row>
    <row r="995" spans="7:12" x14ac:dyDescent="0.55000000000000004">
      <c r="G995" s="8"/>
      <c r="H995" s="8"/>
      <c r="I995" s="8"/>
      <c r="J995" s="8"/>
      <c r="K995" s="8"/>
      <c r="L995" s="8"/>
    </row>
    <row r="996" spans="7:12" x14ac:dyDescent="0.55000000000000004">
      <c r="G996" s="8"/>
      <c r="H996" s="8"/>
      <c r="I996" s="8"/>
      <c r="J996" s="8"/>
      <c r="K996" s="8"/>
      <c r="L996" s="8"/>
    </row>
    <row r="997" spans="7:12" x14ac:dyDescent="0.55000000000000004">
      <c r="G997" s="8"/>
      <c r="H997" s="8"/>
      <c r="I997" s="8"/>
      <c r="J997" s="8"/>
      <c r="K997" s="8"/>
      <c r="L997" s="8"/>
    </row>
    <row r="998" spans="7:12" x14ac:dyDescent="0.55000000000000004">
      <c r="G998" s="8"/>
      <c r="H998" s="8"/>
      <c r="I998" s="8"/>
      <c r="J998" s="8"/>
      <c r="K998" s="8"/>
      <c r="L998" s="8"/>
    </row>
    <row r="999" spans="7:12" x14ac:dyDescent="0.55000000000000004">
      <c r="G999" s="8"/>
      <c r="H999" s="8"/>
      <c r="I999" s="8"/>
      <c r="J999" s="8"/>
      <c r="K999" s="8"/>
      <c r="L999" s="8"/>
    </row>
    <row r="1000" spans="7:12" x14ac:dyDescent="0.55000000000000004">
      <c r="G1000" s="8"/>
      <c r="H1000" s="8"/>
      <c r="I1000" s="8"/>
      <c r="J1000" s="8"/>
      <c r="K1000" s="8"/>
      <c r="L1000" s="8"/>
    </row>
    <row r="1001" spans="7:12" x14ac:dyDescent="0.55000000000000004">
      <c r="G1001" s="8"/>
      <c r="H1001" s="8"/>
      <c r="I1001" s="8"/>
      <c r="J1001" s="8"/>
      <c r="K1001" s="8"/>
      <c r="L1001" s="8"/>
    </row>
    <row r="1002" spans="7:12" x14ac:dyDescent="0.55000000000000004">
      <c r="G1002" s="8"/>
      <c r="H1002" s="8"/>
      <c r="I1002" s="8"/>
      <c r="J1002" s="8"/>
      <c r="K1002" s="8"/>
      <c r="L1002" s="8"/>
    </row>
    <row r="1003" spans="7:12" x14ac:dyDescent="0.55000000000000004">
      <c r="G1003" s="8"/>
      <c r="H1003" s="8"/>
      <c r="I1003" s="8"/>
      <c r="J1003" s="8"/>
      <c r="K1003" s="8"/>
      <c r="L1003" s="8"/>
    </row>
    <row r="1004" spans="7:12" x14ac:dyDescent="0.55000000000000004">
      <c r="G1004" s="8"/>
      <c r="H1004" s="8"/>
      <c r="I1004" s="8"/>
      <c r="J1004" s="8"/>
      <c r="K1004" s="8"/>
      <c r="L1004" s="8"/>
    </row>
    <row r="1005" spans="7:12" x14ac:dyDescent="0.55000000000000004">
      <c r="G1005" s="8"/>
      <c r="H1005" s="8"/>
      <c r="I1005" s="8"/>
      <c r="J1005" s="8"/>
      <c r="K1005" s="8"/>
      <c r="L1005" s="8"/>
    </row>
    <row r="1006" spans="7:12" x14ac:dyDescent="0.55000000000000004">
      <c r="G1006" s="8"/>
      <c r="H1006" s="8"/>
      <c r="I1006" s="8"/>
      <c r="J1006" s="8"/>
      <c r="K1006" s="8"/>
      <c r="L1006" s="8"/>
    </row>
    <row r="1007" spans="7:12" x14ac:dyDescent="0.55000000000000004">
      <c r="G1007" s="8"/>
      <c r="H1007" s="8"/>
      <c r="I1007" s="8"/>
      <c r="J1007" s="8"/>
      <c r="K1007" s="8"/>
      <c r="L1007" s="8"/>
    </row>
    <row r="1008" spans="7:12" x14ac:dyDescent="0.55000000000000004">
      <c r="G1008" s="8"/>
      <c r="H1008" s="8"/>
      <c r="I1008" s="8"/>
      <c r="J1008" s="8"/>
      <c r="K1008" s="8"/>
      <c r="L1008" s="8"/>
    </row>
    <row r="1009" spans="7:12" x14ac:dyDescent="0.55000000000000004">
      <c r="G1009" s="8"/>
      <c r="H1009" s="8"/>
      <c r="I1009" s="8"/>
      <c r="J1009" s="8"/>
      <c r="K1009" s="8"/>
      <c r="L1009" s="8"/>
    </row>
    <row r="1010" spans="7:12" x14ac:dyDescent="0.55000000000000004">
      <c r="G1010" s="8"/>
      <c r="H1010" s="8"/>
      <c r="I1010" s="8"/>
      <c r="J1010" s="8"/>
      <c r="K1010" s="8"/>
      <c r="L1010" s="8"/>
    </row>
    <row r="1011" spans="7:12" x14ac:dyDescent="0.55000000000000004">
      <c r="G1011" s="8"/>
      <c r="H1011" s="8"/>
      <c r="I1011" s="8"/>
      <c r="J1011" s="8"/>
      <c r="K1011" s="8"/>
      <c r="L1011" s="8"/>
    </row>
    <row r="1012" spans="7:12" x14ac:dyDescent="0.55000000000000004">
      <c r="G1012" s="8"/>
      <c r="H1012" s="8"/>
      <c r="I1012" s="8"/>
      <c r="J1012" s="8"/>
      <c r="K1012" s="8"/>
      <c r="L1012" s="8"/>
    </row>
    <row r="1013" spans="7:12" x14ac:dyDescent="0.55000000000000004">
      <c r="G1013" s="8"/>
      <c r="H1013" s="8"/>
      <c r="I1013" s="8"/>
      <c r="J1013" s="8"/>
      <c r="K1013" s="8"/>
      <c r="L1013" s="8"/>
    </row>
    <row r="1014" spans="7:12" x14ac:dyDescent="0.55000000000000004">
      <c r="G1014" s="8"/>
      <c r="H1014" s="8"/>
      <c r="I1014" s="8"/>
      <c r="J1014" s="8"/>
      <c r="K1014" s="8"/>
      <c r="L1014" s="8"/>
    </row>
    <row r="1015" spans="7:12" x14ac:dyDescent="0.55000000000000004">
      <c r="G1015" s="8"/>
      <c r="H1015" s="8"/>
      <c r="I1015" s="8"/>
      <c r="J1015" s="8"/>
      <c r="K1015" s="8"/>
      <c r="L1015" s="8"/>
    </row>
    <row r="1016" spans="7:12" x14ac:dyDescent="0.55000000000000004">
      <c r="G1016" s="8"/>
      <c r="H1016" s="8"/>
      <c r="I1016" s="8"/>
      <c r="J1016" s="8"/>
      <c r="K1016" s="8"/>
      <c r="L1016" s="8"/>
    </row>
    <row r="1017" spans="7:12" x14ac:dyDescent="0.55000000000000004">
      <c r="G1017" s="8"/>
      <c r="H1017" s="8"/>
      <c r="I1017" s="8"/>
      <c r="J1017" s="8"/>
      <c r="K1017" s="8"/>
      <c r="L1017" s="8"/>
    </row>
    <row r="1018" spans="7:12" x14ac:dyDescent="0.55000000000000004">
      <c r="G1018" s="8"/>
      <c r="H1018" s="8"/>
      <c r="I1018" s="8"/>
      <c r="J1018" s="8"/>
      <c r="K1018" s="8"/>
      <c r="L1018" s="8"/>
    </row>
    <row r="1019" spans="7:12" x14ac:dyDescent="0.55000000000000004">
      <c r="G1019" s="8"/>
      <c r="H1019" s="8"/>
      <c r="I1019" s="8"/>
      <c r="J1019" s="8"/>
      <c r="K1019" s="8"/>
      <c r="L1019" s="8"/>
    </row>
    <row r="1020" spans="7:12" x14ac:dyDescent="0.55000000000000004">
      <c r="G1020" s="8"/>
      <c r="H1020" s="8"/>
      <c r="I1020" s="8"/>
      <c r="J1020" s="8"/>
      <c r="K1020" s="8"/>
      <c r="L1020" s="8"/>
    </row>
    <row r="1021" spans="7:12" x14ac:dyDescent="0.55000000000000004">
      <c r="G1021" s="8"/>
      <c r="H1021" s="8"/>
      <c r="I1021" s="8"/>
      <c r="J1021" s="8"/>
      <c r="K1021" s="8"/>
      <c r="L1021" s="8"/>
    </row>
    <row r="1022" spans="7:12" x14ac:dyDescent="0.55000000000000004">
      <c r="G1022" s="8"/>
      <c r="H1022" s="8"/>
      <c r="I1022" s="8"/>
      <c r="J1022" s="8"/>
      <c r="K1022" s="8"/>
      <c r="L1022" s="8"/>
    </row>
    <row r="1023" spans="7:12" x14ac:dyDescent="0.55000000000000004">
      <c r="G1023" s="8"/>
      <c r="H1023" s="8"/>
      <c r="I1023" s="8"/>
      <c r="J1023" s="8"/>
      <c r="K1023" s="8"/>
      <c r="L1023" s="8"/>
    </row>
    <row r="1024" spans="7:12" x14ac:dyDescent="0.55000000000000004">
      <c r="G1024" s="8"/>
      <c r="H1024" s="8"/>
      <c r="I1024" s="8"/>
      <c r="J1024" s="8"/>
      <c r="K1024" s="8"/>
      <c r="L1024" s="8"/>
    </row>
    <row r="1025" spans="7:12" x14ac:dyDescent="0.55000000000000004">
      <c r="G1025" s="8"/>
      <c r="H1025" s="8"/>
      <c r="I1025" s="8"/>
      <c r="J1025" s="8"/>
      <c r="K1025" s="8"/>
      <c r="L1025" s="8"/>
    </row>
    <row r="1026" spans="7:12" x14ac:dyDescent="0.55000000000000004">
      <c r="G1026" s="8"/>
      <c r="H1026" s="8"/>
      <c r="I1026" s="8"/>
      <c r="J1026" s="8"/>
      <c r="K1026" s="8"/>
      <c r="L1026" s="8"/>
    </row>
    <row r="1027" spans="7:12" x14ac:dyDescent="0.55000000000000004">
      <c r="G1027" s="8"/>
      <c r="H1027" s="8"/>
      <c r="I1027" s="8"/>
      <c r="J1027" s="8"/>
      <c r="K1027" s="8"/>
      <c r="L1027" s="8"/>
    </row>
    <row r="1028" spans="7:12" x14ac:dyDescent="0.55000000000000004">
      <c r="G1028" s="8"/>
      <c r="H1028" s="8"/>
      <c r="I1028" s="8"/>
      <c r="J1028" s="8"/>
      <c r="K1028" s="8"/>
      <c r="L1028" s="8"/>
    </row>
    <row r="1029" spans="7:12" x14ac:dyDescent="0.55000000000000004">
      <c r="G1029" s="8"/>
      <c r="H1029" s="8"/>
      <c r="I1029" s="8"/>
      <c r="J1029" s="8"/>
      <c r="K1029" s="8"/>
      <c r="L1029" s="8"/>
    </row>
    <row r="1030" spans="7:12" x14ac:dyDescent="0.55000000000000004">
      <c r="G1030" s="8"/>
      <c r="H1030" s="8"/>
      <c r="I1030" s="8"/>
      <c r="J1030" s="8"/>
      <c r="K1030" s="8"/>
      <c r="L1030" s="8"/>
    </row>
    <row r="1031" spans="7:12" x14ac:dyDescent="0.55000000000000004">
      <c r="G1031" s="8"/>
      <c r="H1031" s="8"/>
      <c r="I1031" s="8"/>
      <c r="J1031" s="8"/>
      <c r="K1031" s="8"/>
      <c r="L1031" s="8"/>
    </row>
    <row r="1032" spans="7:12" x14ac:dyDescent="0.55000000000000004">
      <c r="G1032" s="8"/>
      <c r="H1032" s="8"/>
      <c r="I1032" s="8"/>
      <c r="J1032" s="8"/>
      <c r="K1032" s="8"/>
      <c r="L1032" s="8"/>
    </row>
    <row r="1033" spans="7:12" x14ac:dyDescent="0.55000000000000004">
      <c r="G1033" s="8"/>
      <c r="H1033" s="8"/>
      <c r="I1033" s="8"/>
      <c r="J1033" s="8"/>
      <c r="K1033" s="8"/>
      <c r="L1033" s="8"/>
    </row>
    <row r="1034" spans="7:12" x14ac:dyDescent="0.55000000000000004">
      <c r="G1034" s="8"/>
      <c r="H1034" s="8"/>
      <c r="I1034" s="8"/>
      <c r="J1034" s="8"/>
      <c r="K1034" s="8"/>
      <c r="L1034" s="8"/>
    </row>
    <row r="1035" spans="7:12" x14ac:dyDescent="0.55000000000000004">
      <c r="G1035" s="8"/>
      <c r="H1035" s="8"/>
      <c r="I1035" s="8"/>
      <c r="J1035" s="8"/>
      <c r="K1035" s="8"/>
      <c r="L1035" s="8"/>
    </row>
    <row r="1036" spans="7:12" x14ac:dyDescent="0.55000000000000004">
      <c r="G1036" s="8"/>
      <c r="H1036" s="8"/>
      <c r="I1036" s="8"/>
      <c r="J1036" s="8"/>
      <c r="K1036" s="8"/>
      <c r="L1036" s="8"/>
    </row>
    <row r="1037" spans="7:12" x14ac:dyDescent="0.55000000000000004">
      <c r="G1037" s="8"/>
      <c r="H1037" s="8"/>
      <c r="I1037" s="8"/>
      <c r="J1037" s="8"/>
      <c r="K1037" s="8"/>
      <c r="L1037" s="8"/>
    </row>
    <row r="1038" spans="7:12" x14ac:dyDescent="0.55000000000000004">
      <c r="G1038" s="8"/>
      <c r="H1038" s="8"/>
      <c r="I1038" s="8"/>
      <c r="J1038" s="8"/>
      <c r="K1038" s="8"/>
      <c r="L1038" s="8"/>
    </row>
    <row r="1039" spans="7:12" x14ac:dyDescent="0.55000000000000004">
      <c r="G1039" s="8"/>
      <c r="H1039" s="8"/>
      <c r="I1039" s="8"/>
      <c r="J1039" s="8"/>
      <c r="K1039" s="8"/>
      <c r="L1039" s="8"/>
    </row>
    <row r="1040" spans="7:12" x14ac:dyDescent="0.55000000000000004">
      <c r="G1040" s="8"/>
      <c r="H1040" s="8"/>
      <c r="I1040" s="8"/>
      <c r="J1040" s="8"/>
      <c r="K1040" s="8"/>
      <c r="L1040" s="8"/>
    </row>
    <row r="1041" spans="7:12" x14ac:dyDescent="0.55000000000000004">
      <c r="G1041" s="8"/>
      <c r="H1041" s="8"/>
      <c r="I1041" s="8"/>
      <c r="J1041" s="8"/>
      <c r="K1041" s="8"/>
      <c r="L1041" s="8"/>
    </row>
    <row r="1042" spans="7:12" x14ac:dyDescent="0.55000000000000004">
      <c r="G1042" s="8"/>
      <c r="H1042" s="8"/>
      <c r="I1042" s="8"/>
      <c r="J1042" s="8"/>
      <c r="K1042" s="8"/>
      <c r="L1042" s="8"/>
    </row>
    <row r="1043" spans="7:12" x14ac:dyDescent="0.55000000000000004">
      <c r="G1043" s="8"/>
      <c r="H1043" s="8"/>
      <c r="I1043" s="8"/>
      <c r="J1043" s="8"/>
      <c r="K1043" s="8"/>
      <c r="L1043" s="8"/>
    </row>
    <row r="1044" spans="7:12" x14ac:dyDescent="0.55000000000000004">
      <c r="G1044" s="8"/>
      <c r="H1044" s="8"/>
      <c r="I1044" s="8"/>
      <c r="J1044" s="8"/>
      <c r="K1044" s="8"/>
      <c r="L1044" s="8"/>
    </row>
    <row r="1045" spans="7:12" x14ac:dyDescent="0.55000000000000004">
      <c r="G1045" s="8"/>
      <c r="H1045" s="8"/>
      <c r="I1045" s="8"/>
      <c r="J1045" s="8"/>
      <c r="K1045" s="8"/>
      <c r="L1045" s="8"/>
    </row>
    <row r="1046" spans="7:12" x14ac:dyDescent="0.55000000000000004">
      <c r="G1046" s="8"/>
      <c r="H1046" s="8"/>
      <c r="I1046" s="8"/>
      <c r="J1046" s="8"/>
      <c r="K1046" s="8"/>
      <c r="L1046" s="8"/>
    </row>
    <row r="1047" spans="7:12" x14ac:dyDescent="0.55000000000000004">
      <c r="G1047" s="8"/>
      <c r="H1047" s="8"/>
      <c r="I1047" s="8"/>
      <c r="J1047" s="8"/>
      <c r="K1047" s="8"/>
      <c r="L1047" s="8"/>
    </row>
    <row r="1048" spans="7:12" x14ac:dyDescent="0.55000000000000004">
      <c r="G1048" s="8"/>
      <c r="H1048" s="8"/>
      <c r="I1048" s="8"/>
      <c r="J1048" s="8"/>
      <c r="K1048" s="8"/>
      <c r="L1048" s="8"/>
    </row>
    <row r="1049" spans="7:12" x14ac:dyDescent="0.55000000000000004">
      <c r="G1049" s="8"/>
      <c r="H1049" s="8"/>
      <c r="I1049" s="8"/>
      <c r="J1049" s="8"/>
      <c r="K1049" s="8"/>
      <c r="L1049" s="8"/>
    </row>
    <row r="1050" spans="7:12" x14ac:dyDescent="0.55000000000000004">
      <c r="G1050" s="8"/>
      <c r="H1050" s="8"/>
      <c r="I1050" s="8"/>
      <c r="J1050" s="8"/>
      <c r="K1050" s="8"/>
      <c r="L1050" s="8"/>
    </row>
    <row r="1051" spans="7:12" x14ac:dyDescent="0.55000000000000004">
      <c r="G1051" s="8"/>
      <c r="H1051" s="8"/>
      <c r="I1051" s="8"/>
      <c r="J1051" s="8"/>
      <c r="K1051" s="8"/>
      <c r="L1051" s="8"/>
    </row>
    <row r="1052" spans="7:12" x14ac:dyDescent="0.55000000000000004">
      <c r="G1052" s="8"/>
      <c r="H1052" s="8"/>
      <c r="I1052" s="8"/>
      <c r="J1052" s="8"/>
      <c r="K1052" s="8"/>
      <c r="L1052" s="8"/>
    </row>
    <row r="1053" spans="7:12" x14ac:dyDescent="0.55000000000000004">
      <c r="G1053" s="8"/>
      <c r="H1053" s="8"/>
      <c r="I1053" s="8"/>
      <c r="J1053" s="8"/>
      <c r="K1053" s="8"/>
      <c r="L1053" s="8"/>
    </row>
    <row r="1054" spans="7:12" x14ac:dyDescent="0.55000000000000004">
      <c r="G1054" s="8"/>
      <c r="H1054" s="8"/>
      <c r="I1054" s="8"/>
      <c r="J1054" s="8"/>
      <c r="K1054" s="8"/>
      <c r="L1054" s="8"/>
    </row>
  </sheetData>
  <sheetProtection selectLockedCells="1" selectUnlockedCells="1"/>
  <mergeCells count="6">
    <mergeCell ref="B34:S39"/>
    <mergeCell ref="B32:S33"/>
    <mergeCell ref="H24:K25"/>
    <mergeCell ref="B14:E16"/>
    <mergeCell ref="H14:K16"/>
    <mergeCell ref="F29:H29"/>
  </mergeCells>
  <hyperlinks>
    <hyperlink ref="E24" r:id="rId1" xr:uid="{C2EAECB1-E7CF-44FC-A33E-85EB6860F28F}"/>
  </hyperlinks>
  <pageMargins left="0.7" right="0.7" top="0.75" bottom="0.75" header="0.3" footer="0.3"/>
  <pageSetup paperSize="9" scale="65"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C525-8A85-4DDE-9DA4-51D5DD425582}">
  <dimension ref="A1:AU49"/>
  <sheetViews>
    <sheetView tabSelected="1" workbookViewId="0"/>
  </sheetViews>
  <sheetFormatPr defaultRowHeight="14.4" x14ac:dyDescent="0.55000000000000004"/>
  <cols>
    <col min="19" max="47" width="8.83984375" style="6"/>
  </cols>
  <sheetData>
    <row r="1" spans="1:19" ht="76.5" x14ac:dyDescent="1.1000000000000001">
      <c r="A1" s="326" t="s">
        <v>767</v>
      </c>
      <c r="B1" s="335"/>
      <c r="C1" s="806"/>
      <c r="D1" s="335"/>
      <c r="E1" s="335"/>
      <c r="F1" s="335"/>
      <c r="G1" s="807"/>
      <c r="H1" s="335"/>
      <c r="I1" s="806"/>
      <c r="J1" s="335"/>
      <c r="K1" s="808" t="s">
        <v>640</v>
      </c>
      <c r="L1" s="335"/>
      <c r="M1" s="335"/>
      <c r="N1" s="335"/>
      <c r="O1" s="335"/>
      <c r="P1" s="335"/>
      <c r="Q1" s="806"/>
      <c r="R1" s="335"/>
      <c r="S1" s="335"/>
    </row>
    <row r="2" spans="1:19" x14ac:dyDescent="0.55000000000000004">
      <c r="A2" s="335"/>
      <c r="B2" s="335"/>
      <c r="C2" s="335"/>
      <c r="D2" s="335"/>
      <c r="E2" s="335"/>
      <c r="F2" s="335"/>
      <c r="G2" s="335"/>
      <c r="H2" s="335"/>
      <c r="I2" s="335"/>
      <c r="J2" s="335"/>
      <c r="K2" s="856" t="s">
        <v>887</v>
      </c>
      <c r="L2" s="856"/>
      <c r="M2" s="856"/>
      <c r="N2" s="856"/>
      <c r="O2" s="856"/>
      <c r="P2" s="856"/>
      <c r="Q2" s="335"/>
      <c r="R2" s="335"/>
      <c r="S2" s="335"/>
    </row>
    <row r="3" spans="1:19" x14ac:dyDescent="0.55000000000000004">
      <c r="A3" s="335"/>
      <c r="B3" s="335"/>
      <c r="C3" s="335"/>
      <c r="D3" s="335"/>
      <c r="E3" s="335"/>
      <c r="F3" s="335"/>
      <c r="G3" s="335"/>
      <c r="H3" s="335"/>
      <c r="I3" s="335"/>
      <c r="J3" s="335"/>
      <c r="K3" s="856"/>
      <c r="L3" s="856"/>
      <c r="M3" s="856"/>
      <c r="N3" s="856"/>
      <c r="O3" s="856"/>
      <c r="P3" s="856"/>
      <c r="Q3" s="335"/>
      <c r="R3" s="335"/>
      <c r="S3" s="335"/>
    </row>
    <row r="4" spans="1:19" ht="16.8" x14ac:dyDescent="0.65">
      <c r="A4" s="335"/>
      <c r="B4" s="809"/>
      <c r="C4" s="335"/>
      <c r="D4" s="335"/>
      <c r="E4" s="335"/>
      <c r="F4" s="335"/>
      <c r="G4" s="810"/>
      <c r="H4" s="335"/>
      <c r="I4" s="335"/>
      <c r="J4" s="335"/>
      <c r="K4" s="811" t="s">
        <v>888</v>
      </c>
      <c r="L4" s="335"/>
      <c r="M4" s="335"/>
      <c r="N4" s="335"/>
      <c r="O4" s="335"/>
      <c r="P4" s="335"/>
      <c r="Q4" s="335"/>
      <c r="R4" s="335"/>
      <c r="S4" s="335"/>
    </row>
    <row r="5" spans="1:19" ht="16.8" x14ac:dyDescent="0.65">
      <c r="A5" s="335"/>
      <c r="B5" s="809"/>
      <c r="C5" s="335"/>
      <c r="D5" s="335"/>
      <c r="E5" s="335"/>
      <c r="F5" s="335"/>
      <c r="G5" s="810"/>
      <c r="H5" s="335"/>
      <c r="I5" s="335"/>
      <c r="J5" s="335"/>
      <c r="K5" s="335"/>
      <c r="L5" s="335"/>
      <c r="M5" s="335"/>
      <c r="N5" s="335"/>
      <c r="O5" s="335"/>
      <c r="P5" s="335"/>
      <c r="Q5" s="335"/>
      <c r="R5" s="335"/>
      <c r="S5" s="335"/>
    </row>
    <row r="6" spans="1:19" x14ac:dyDescent="0.55000000000000004">
      <c r="A6" s="812"/>
      <c r="B6" s="812"/>
      <c r="C6" s="812"/>
      <c r="D6" s="812"/>
      <c r="E6" s="813"/>
      <c r="F6" s="814"/>
      <c r="G6" s="812"/>
      <c r="H6" s="812"/>
      <c r="I6" s="812"/>
      <c r="J6" s="812"/>
      <c r="K6" s="812"/>
      <c r="L6" s="812"/>
      <c r="M6" s="812"/>
      <c r="N6" s="812"/>
      <c r="O6" s="812"/>
      <c r="P6" s="812"/>
      <c r="Q6" s="812"/>
      <c r="R6" s="815"/>
      <c r="S6" s="335"/>
    </row>
    <row r="7" spans="1:19" x14ac:dyDescent="0.55000000000000004">
      <c r="A7" s="812"/>
      <c r="B7" s="812"/>
      <c r="C7" s="812"/>
      <c r="D7" s="812"/>
      <c r="E7" s="813"/>
      <c r="F7" s="814"/>
      <c r="G7" s="812"/>
      <c r="H7" s="812"/>
      <c r="I7" s="812"/>
      <c r="J7" s="812"/>
      <c r="K7" s="812"/>
      <c r="L7" s="812"/>
      <c r="M7" s="812"/>
      <c r="N7" s="812"/>
      <c r="O7" s="812"/>
      <c r="P7" s="812"/>
      <c r="Q7" s="812"/>
      <c r="R7" s="812"/>
      <c r="S7" s="335"/>
    </row>
    <row r="8" spans="1:19" x14ac:dyDescent="0.55000000000000004">
      <c r="A8" s="812"/>
      <c r="B8" s="812"/>
      <c r="C8" s="812"/>
      <c r="D8" s="812"/>
      <c r="E8" s="813"/>
      <c r="F8" s="814"/>
      <c r="G8" s="812"/>
      <c r="H8" s="812"/>
      <c r="I8" s="812"/>
      <c r="J8" s="812"/>
      <c r="K8" s="812"/>
      <c r="L8" s="812"/>
      <c r="M8" s="812"/>
      <c r="N8" s="812"/>
      <c r="O8" s="812"/>
      <c r="P8" s="812"/>
      <c r="Q8" s="812"/>
      <c r="R8" s="816"/>
      <c r="S8" s="335"/>
    </row>
    <row r="9" spans="1:19" x14ac:dyDescent="0.55000000000000004">
      <c r="A9" s="813"/>
      <c r="B9" s="813"/>
      <c r="C9" s="813"/>
      <c r="D9" s="813"/>
      <c r="E9" s="813"/>
      <c r="F9" s="814"/>
      <c r="G9" s="817"/>
      <c r="H9" s="812"/>
      <c r="I9" s="812"/>
      <c r="J9" s="812"/>
      <c r="K9" s="335"/>
      <c r="L9" s="335"/>
      <c r="M9" s="335"/>
      <c r="N9" s="335"/>
      <c r="O9" s="335"/>
      <c r="P9" s="335"/>
      <c r="Q9" s="812"/>
      <c r="R9" s="812"/>
      <c r="S9" s="335"/>
    </row>
    <row r="10" spans="1:19" x14ac:dyDescent="0.55000000000000004">
      <c r="A10" s="818"/>
      <c r="B10" s="335"/>
      <c r="C10" s="335"/>
      <c r="D10" s="335"/>
      <c r="E10" s="335"/>
      <c r="F10" s="335"/>
      <c r="G10" s="819"/>
      <c r="H10" s="335"/>
      <c r="I10" s="335"/>
      <c r="J10" s="812"/>
      <c r="K10" s="812"/>
      <c r="L10" s="812"/>
      <c r="M10" s="812"/>
      <c r="N10" s="812"/>
      <c r="O10" s="812"/>
      <c r="P10" s="812"/>
      <c r="Q10" s="812"/>
      <c r="R10" s="335"/>
      <c r="S10" s="335"/>
    </row>
    <row r="11" spans="1:19" x14ac:dyDescent="0.55000000000000004">
      <c r="A11" s="820"/>
      <c r="B11" s="821"/>
      <c r="C11" s="821"/>
      <c r="D11" s="821"/>
      <c r="E11" s="821"/>
      <c r="F11" s="812"/>
      <c r="G11" s="812"/>
      <c r="H11" s="812"/>
      <c r="I11" s="812"/>
      <c r="J11" s="812"/>
      <c r="K11" s="812"/>
      <c r="L11" s="812"/>
      <c r="M11" s="812"/>
      <c r="N11" s="812"/>
      <c r="O11" s="812"/>
      <c r="P11" s="812"/>
      <c r="Q11" s="812"/>
      <c r="R11" s="812"/>
      <c r="S11" s="335"/>
    </row>
    <row r="12" spans="1:19" x14ac:dyDescent="0.55000000000000004">
      <c r="A12" s="812"/>
      <c r="B12" s="812"/>
      <c r="C12" s="812"/>
      <c r="D12" s="812"/>
      <c r="E12" s="821"/>
      <c r="F12" s="812"/>
      <c r="G12" s="812"/>
      <c r="H12" s="812"/>
      <c r="I12" s="812"/>
      <c r="J12" s="812"/>
      <c r="K12" s="812"/>
      <c r="L12" s="812"/>
      <c r="M12" s="812"/>
      <c r="N12" s="812"/>
      <c r="O12" s="812"/>
      <c r="P12" s="812"/>
      <c r="Q12" s="812"/>
      <c r="R12" s="812"/>
      <c r="S12" s="335"/>
    </row>
    <row r="13" spans="1:19" x14ac:dyDescent="0.55000000000000004">
      <c r="A13" s="812"/>
      <c r="B13" s="812"/>
      <c r="C13" s="812"/>
      <c r="D13" s="812"/>
      <c r="E13" s="821"/>
      <c r="F13" s="812"/>
      <c r="G13" s="812"/>
      <c r="H13" s="812"/>
      <c r="I13" s="812"/>
      <c r="J13" s="812"/>
      <c r="K13" s="812"/>
      <c r="L13" s="812"/>
      <c r="M13" s="812"/>
      <c r="N13" s="812"/>
      <c r="O13" s="812"/>
      <c r="P13" s="812"/>
      <c r="Q13" s="812"/>
      <c r="R13" s="812"/>
      <c r="S13" s="335"/>
    </row>
    <row r="14" spans="1:19" x14ac:dyDescent="0.55000000000000004">
      <c r="A14" s="818"/>
      <c r="B14" s="335"/>
      <c r="C14" s="335"/>
      <c r="D14" s="335"/>
      <c r="E14" s="821"/>
      <c r="F14" s="812"/>
      <c r="G14" s="818"/>
      <c r="H14" s="335"/>
      <c r="I14" s="335"/>
      <c r="J14" s="335"/>
      <c r="K14" s="812"/>
      <c r="L14" s="812"/>
      <c r="M14" s="812"/>
      <c r="N14" s="812"/>
      <c r="O14" s="812"/>
      <c r="P14" s="812"/>
      <c r="Q14" s="812"/>
      <c r="R14" s="812"/>
      <c r="S14" s="335"/>
    </row>
    <row r="15" spans="1:19" x14ac:dyDescent="0.55000000000000004">
      <c r="A15" s="857"/>
      <c r="B15" s="857"/>
      <c r="C15" s="857"/>
      <c r="D15" s="857"/>
      <c r="E15" s="812"/>
      <c r="F15" s="812"/>
      <c r="G15" s="857"/>
      <c r="H15" s="857"/>
      <c r="I15" s="857"/>
      <c r="J15" s="857"/>
      <c r="K15" s="812"/>
      <c r="L15" s="822"/>
      <c r="M15" s="815"/>
      <c r="N15" s="812"/>
      <c r="O15" s="812"/>
      <c r="P15" s="812"/>
      <c r="Q15" s="823"/>
      <c r="R15" s="812"/>
      <c r="S15" s="335"/>
    </row>
    <row r="16" spans="1:19" x14ac:dyDescent="0.55000000000000004">
      <c r="A16" s="857"/>
      <c r="B16" s="857"/>
      <c r="C16" s="857"/>
      <c r="D16" s="857"/>
      <c r="E16" s="812"/>
      <c r="F16" s="812"/>
      <c r="G16" s="857"/>
      <c r="H16" s="857"/>
      <c r="I16" s="857"/>
      <c r="J16" s="857"/>
      <c r="K16" s="858" t="s">
        <v>889</v>
      </c>
      <c r="L16" s="858"/>
      <c r="M16" s="858"/>
      <c r="N16" s="858"/>
      <c r="O16" s="858"/>
      <c r="P16" s="858"/>
      <c r="Q16" s="812"/>
      <c r="R16" s="812"/>
      <c r="S16" s="335"/>
    </row>
    <row r="17" spans="1:19" x14ac:dyDescent="0.55000000000000004">
      <c r="A17" s="857"/>
      <c r="B17" s="857"/>
      <c r="C17" s="857"/>
      <c r="D17" s="857"/>
      <c r="E17" s="812"/>
      <c r="F17" s="812"/>
      <c r="G17" s="857"/>
      <c r="H17" s="857"/>
      <c r="I17" s="857"/>
      <c r="J17" s="857"/>
      <c r="K17" s="858"/>
      <c r="L17" s="858"/>
      <c r="M17" s="858"/>
      <c r="N17" s="858"/>
      <c r="O17" s="858"/>
      <c r="P17" s="858"/>
      <c r="Q17" s="824"/>
      <c r="R17" s="812"/>
      <c r="S17" s="335"/>
    </row>
    <row r="18" spans="1:19" x14ac:dyDescent="0.55000000000000004">
      <c r="A18" s="812"/>
      <c r="B18" s="812"/>
      <c r="C18" s="812"/>
      <c r="D18" s="812"/>
      <c r="E18" s="812"/>
      <c r="F18" s="812"/>
      <c r="G18" s="813"/>
      <c r="H18" s="813"/>
      <c r="I18" s="813"/>
      <c r="J18" s="813"/>
      <c r="K18" s="812"/>
      <c r="L18" s="822"/>
      <c r="M18" s="822"/>
      <c r="N18" s="825" t="s">
        <v>872</v>
      </c>
      <c r="O18" s="824"/>
      <c r="P18" s="812"/>
      <c r="Q18" s="812"/>
      <c r="R18" s="812"/>
      <c r="S18" s="335"/>
    </row>
    <row r="19" spans="1:19" x14ac:dyDescent="0.55000000000000004">
      <c r="A19" s="335"/>
      <c r="B19" s="335"/>
      <c r="C19" s="335"/>
      <c r="D19" s="335"/>
      <c r="E19" s="826"/>
      <c r="F19" s="335"/>
      <c r="G19" s="335"/>
      <c r="H19" s="335"/>
      <c r="I19" s="335"/>
      <c r="J19" s="335"/>
      <c r="K19" s="335"/>
      <c r="L19" s="822"/>
      <c r="M19" s="335"/>
      <c r="N19" s="822"/>
      <c r="O19" s="822"/>
      <c r="P19" s="335"/>
      <c r="Q19" s="335"/>
      <c r="R19" s="335"/>
      <c r="S19" s="335"/>
    </row>
    <row r="20" spans="1:19" x14ac:dyDescent="0.55000000000000004">
      <c r="A20" s="335"/>
      <c r="B20" s="335"/>
      <c r="C20" s="335"/>
      <c r="D20" s="335"/>
      <c r="E20" s="826"/>
      <c r="F20" s="335"/>
      <c r="G20" s="335"/>
      <c r="H20" s="335"/>
      <c r="I20" s="335"/>
      <c r="J20" s="335"/>
      <c r="K20" s="335"/>
      <c r="L20" s="822"/>
      <c r="M20" s="335"/>
      <c r="N20" s="822"/>
      <c r="O20" s="822"/>
      <c r="P20" s="335"/>
      <c r="Q20" s="827"/>
      <c r="R20" s="335"/>
      <c r="S20" s="335"/>
    </row>
    <row r="21" spans="1:19" x14ac:dyDescent="0.55000000000000004">
      <c r="A21" s="828"/>
      <c r="B21" s="335"/>
      <c r="C21" s="335"/>
      <c r="D21" s="335"/>
      <c r="E21" s="335"/>
      <c r="F21" s="335"/>
      <c r="G21" s="335"/>
      <c r="H21" s="335"/>
      <c r="I21" s="335"/>
      <c r="J21" s="335"/>
      <c r="K21" s="335"/>
      <c r="L21" s="822"/>
      <c r="M21" s="335"/>
      <c r="N21" s="822"/>
      <c r="O21" s="822"/>
      <c r="P21" s="335"/>
      <c r="Q21" s="827"/>
      <c r="R21" s="335"/>
      <c r="S21" s="335"/>
    </row>
    <row r="22" spans="1:19" x14ac:dyDescent="0.55000000000000004">
      <c r="A22" s="828"/>
      <c r="B22" s="335"/>
      <c r="C22" s="335"/>
      <c r="D22" s="335"/>
      <c r="E22" s="335"/>
      <c r="F22" s="335"/>
      <c r="G22" s="829"/>
      <c r="H22" s="335"/>
      <c r="I22" s="335"/>
      <c r="J22" s="335"/>
      <c r="K22" s="335"/>
      <c r="L22" s="822"/>
      <c r="M22" s="335"/>
      <c r="N22" s="822"/>
      <c r="O22" s="822"/>
      <c r="P22" s="335"/>
      <c r="Q22" s="827"/>
      <c r="R22" s="335"/>
      <c r="S22" s="335"/>
    </row>
    <row r="23" spans="1:19" x14ac:dyDescent="0.55000000000000004">
      <c r="A23" s="828"/>
      <c r="B23" s="335"/>
      <c r="C23" s="335"/>
      <c r="D23" s="335"/>
      <c r="E23" s="335"/>
      <c r="F23" s="335"/>
      <c r="G23" s="829"/>
      <c r="H23" s="335"/>
      <c r="I23" s="335"/>
      <c r="J23" s="335"/>
      <c r="K23" s="335"/>
      <c r="L23" s="822"/>
      <c r="M23" s="335"/>
      <c r="N23" s="822"/>
      <c r="O23" s="335"/>
      <c r="P23" s="335"/>
      <c r="Q23" s="827"/>
      <c r="R23" s="335"/>
      <c r="S23" s="335"/>
    </row>
    <row r="24" spans="1:19" x14ac:dyDescent="0.55000000000000004">
      <c r="A24" s="830"/>
      <c r="B24" s="831"/>
      <c r="C24" s="831"/>
      <c r="D24" s="335"/>
      <c r="E24" s="831"/>
      <c r="F24" s="335"/>
      <c r="G24" s="832"/>
      <c r="H24" s="831"/>
      <c r="I24" s="831"/>
      <c r="J24" s="831"/>
      <c r="K24" s="831"/>
      <c r="L24" s="822"/>
      <c r="M24" s="833"/>
      <c r="N24" s="822"/>
      <c r="O24" s="822"/>
      <c r="P24" s="827"/>
      <c r="Q24" s="827"/>
      <c r="R24" s="335"/>
      <c r="S24" s="335"/>
    </row>
    <row r="25" spans="1:19" x14ac:dyDescent="0.55000000000000004">
      <c r="A25" s="834"/>
      <c r="B25" s="834"/>
      <c r="C25" s="332"/>
      <c r="D25" s="835"/>
      <c r="E25" s="836"/>
      <c r="F25" s="335"/>
      <c r="G25" s="859"/>
      <c r="H25" s="859"/>
      <c r="I25" s="859"/>
      <c r="J25" s="859"/>
      <c r="K25" s="836"/>
      <c r="L25" s="822"/>
      <c r="M25" s="837"/>
      <c r="N25" s="837"/>
      <c r="O25" s="837"/>
      <c r="P25" s="837"/>
      <c r="Q25" s="823"/>
      <c r="R25" s="823"/>
      <c r="S25" s="335"/>
    </row>
    <row r="26" spans="1:19" x14ac:dyDescent="0.55000000000000004">
      <c r="A26" s="834"/>
      <c r="B26" s="834"/>
      <c r="C26" s="836"/>
      <c r="D26" s="335"/>
      <c r="E26" s="836"/>
      <c r="F26" s="335"/>
      <c r="G26" s="859"/>
      <c r="H26" s="859"/>
      <c r="I26" s="859"/>
      <c r="J26" s="859"/>
      <c r="K26" s="836"/>
      <c r="L26" s="822"/>
      <c r="M26" s="823"/>
      <c r="N26" s="837"/>
      <c r="O26" s="837"/>
      <c r="P26" s="837"/>
      <c r="Q26" s="335"/>
      <c r="R26" s="335"/>
      <c r="S26" s="335"/>
    </row>
    <row r="27" spans="1:19" x14ac:dyDescent="0.55000000000000004">
      <c r="A27" s="335"/>
      <c r="B27" s="335"/>
      <c r="C27" s="335"/>
      <c r="D27" s="335"/>
      <c r="E27" s="836"/>
      <c r="F27" s="335"/>
      <c r="G27" s="836"/>
      <c r="H27" s="836"/>
      <c r="I27" s="836"/>
      <c r="J27" s="836"/>
      <c r="K27" s="836"/>
      <c r="L27" s="335"/>
      <c r="M27" s="823"/>
      <c r="N27" s="335"/>
      <c r="O27" s="335"/>
      <c r="P27" s="838"/>
      <c r="Q27" s="335"/>
      <c r="R27" s="335"/>
      <c r="S27" s="335"/>
    </row>
    <row r="28" spans="1:19" x14ac:dyDescent="0.55000000000000004">
      <c r="A28" s="335"/>
      <c r="B28" s="335"/>
      <c r="C28" s="335"/>
      <c r="D28" s="335"/>
      <c r="E28" s="335"/>
      <c r="F28" s="335"/>
      <c r="G28" s="335"/>
      <c r="H28" s="335"/>
      <c r="I28" s="335"/>
      <c r="J28" s="335"/>
      <c r="K28" s="335"/>
      <c r="L28" s="335"/>
      <c r="M28" s="335"/>
      <c r="N28" s="335"/>
      <c r="O28" s="335"/>
      <c r="P28" s="335"/>
      <c r="Q28" s="335"/>
      <c r="R28" s="335"/>
      <c r="S28" s="335"/>
    </row>
    <row r="29" spans="1:19" x14ac:dyDescent="0.55000000000000004">
      <c r="A29" s="335"/>
      <c r="B29" s="335"/>
      <c r="C29" s="335"/>
      <c r="D29" s="335"/>
      <c r="E29" s="335"/>
      <c r="F29" s="335"/>
      <c r="G29" s="335"/>
      <c r="H29" s="335"/>
      <c r="I29" s="335"/>
      <c r="J29" s="335"/>
      <c r="K29" s="335"/>
      <c r="L29" s="335"/>
      <c r="M29" s="335"/>
      <c r="N29" s="335"/>
      <c r="O29" s="335"/>
      <c r="P29" s="335"/>
      <c r="Q29" s="335"/>
      <c r="R29" s="335"/>
      <c r="S29" s="335"/>
    </row>
    <row r="30" spans="1:19" x14ac:dyDescent="0.55000000000000004">
      <c r="A30" s="839" t="s">
        <v>765</v>
      </c>
      <c r="B30" s="840"/>
      <c r="C30" s="840"/>
      <c r="D30" s="840"/>
      <c r="E30" s="841"/>
      <c r="F30" s="841"/>
      <c r="G30" s="841"/>
      <c r="H30" s="860" t="s">
        <v>764</v>
      </c>
      <c r="I30" s="861"/>
      <c r="J30" s="862"/>
      <c r="K30" s="842" t="s">
        <v>766</v>
      </c>
      <c r="L30" s="840"/>
      <c r="M30" s="840"/>
      <c r="N30" s="840"/>
      <c r="O30" s="840"/>
      <c r="P30" s="840"/>
      <c r="Q30" s="840"/>
      <c r="R30" s="841"/>
      <c r="S30" s="335"/>
    </row>
    <row r="31" spans="1:19" x14ac:dyDescent="0.55000000000000004">
      <c r="A31" s="335"/>
      <c r="B31" s="335"/>
      <c r="C31" s="335"/>
      <c r="D31" s="335"/>
      <c r="E31" s="335"/>
      <c r="F31" s="335"/>
      <c r="G31" s="335"/>
      <c r="H31" s="335"/>
      <c r="I31" s="335"/>
      <c r="J31" s="335"/>
      <c r="K31" s="335"/>
      <c r="L31" s="335"/>
      <c r="M31" s="335"/>
      <c r="N31" s="335"/>
      <c r="O31" s="335"/>
      <c r="P31" s="335"/>
      <c r="Q31" s="335"/>
      <c r="R31" s="335"/>
      <c r="S31" s="335"/>
    </row>
    <row r="32" spans="1:19" x14ac:dyDescent="0.55000000000000004">
      <c r="A32" s="6"/>
      <c r="B32" s="843" t="s">
        <v>600</v>
      </c>
      <c r="C32" s="843"/>
      <c r="D32" s="844"/>
      <c r="E32" s="844"/>
      <c r="F32" s="844"/>
      <c r="G32" s="844"/>
      <c r="H32" s="844"/>
      <c r="I32" s="844"/>
      <c r="J32" s="844"/>
      <c r="K32" s="844"/>
      <c r="L32" s="844"/>
      <c r="M32" s="844"/>
      <c r="N32" s="844"/>
      <c r="O32" s="844"/>
      <c r="P32" s="844"/>
      <c r="Q32" s="844"/>
      <c r="R32" s="844"/>
      <c r="S32" s="844"/>
    </row>
    <row r="33" spans="1:19" x14ac:dyDescent="0.55000000000000004">
      <c r="A33" s="6"/>
      <c r="B33" s="854" t="s">
        <v>721</v>
      </c>
      <c r="C33" s="854"/>
      <c r="D33" s="854"/>
      <c r="E33" s="854"/>
      <c r="F33" s="854"/>
      <c r="G33" s="854"/>
      <c r="H33" s="854"/>
      <c r="I33" s="854"/>
      <c r="J33" s="854"/>
      <c r="K33" s="854"/>
      <c r="L33" s="854"/>
      <c r="M33" s="854"/>
      <c r="N33" s="854"/>
      <c r="O33" s="854"/>
      <c r="P33" s="854"/>
      <c r="Q33" s="854"/>
      <c r="R33" s="854"/>
      <c r="S33" s="854"/>
    </row>
    <row r="34" spans="1:19" x14ac:dyDescent="0.55000000000000004">
      <c r="A34" s="6"/>
      <c r="B34" s="854"/>
      <c r="C34" s="854"/>
      <c r="D34" s="854"/>
      <c r="E34" s="854"/>
      <c r="F34" s="854"/>
      <c r="G34" s="854"/>
      <c r="H34" s="854"/>
      <c r="I34" s="854"/>
      <c r="J34" s="854"/>
      <c r="K34" s="854"/>
      <c r="L34" s="854"/>
      <c r="M34" s="854"/>
      <c r="N34" s="854"/>
      <c r="O34" s="854"/>
      <c r="P34" s="854"/>
      <c r="Q34" s="854"/>
      <c r="R34" s="854"/>
      <c r="S34" s="854"/>
    </row>
    <row r="35" spans="1:19" x14ac:dyDescent="0.55000000000000004">
      <c r="A35" s="6"/>
      <c r="B35" s="855" t="s">
        <v>601</v>
      </c>
      <c r="C35" s="855"/>
      <c r="D35" s="855"/>
      <c r="E35" s="855"/>
      <c r="F35" s="855"/>
      <c r="G35" s="855"/>
      <c r="H35" s="855"/>
      <c r="I35" s="855"/>
      <c r="J35" s="855"/>
      <c r="K35" s="855"/>
      <c r="L35" s="855"/>
      <c r="M35" s="855"/>
      <c r="N35" s="855"/>
      <c r="O35" s="855"/>
      <c r="P35" s="855"/>
      <c r="Q35" s="855"/>
      <c r="R35" s="855"/>
      <c r="S35" s="855"/>
    </row>
    <row r="36" spans="1:19" x14ac:dyDescent="0.55000000000000004">
      <c r="A36" s="6"/>
      <c r="B36" s="855"/>
      <c r="C36" s="855"/>
      <c r="D36" s="855"/>
      <c r="E36" s="855"/>
      <c r="F36" s="855"/>
      <c r="G36" s="855"/>
      <c r="H36" s="855"/>
      <c r="I36" s="855"/>
      <c r="J36" s="855"/>
      <c r="K36" s="855"/>
      <c r="L36" s="855"/>
      <c r="M36" s="855"/>
      <c r="N36" s="855"/>
      <c r="O36" s="855"/>
      <c r="P36" s="855"/>
      <c r="Q36" s="855"/>
      <c r="R36" s="855"/>
      <c r="S36" s="855"/>
    </row>
    <row r="37" spans="1:19" x14ac:dyDescent="0.55000000000000004">
      <c r="A37" s="6"/>
      <c r="B37" s="855"/>
      <c r="C37" s="855"/>
      <c r="D37" s="855"/>
      <c r="E37" s="855"/>
      <c r="F37" s="855"/>
      <c r="G37" s="855"/>
      <c r="H37" s="855"/>
      <c r="I37" s="855"/>
      <c r="J37" s="855"/>
      <c r="K37" s="855"/>
      <c r="L37" s="855"/>
      <c r="M37" s="855"/>
      <c r="N37" s="855"/>
      <c r="O37" s="855"/>
      <c r="P37" s="855"/>
      <c r="Q37" s="855"/>
      <c r="R37" s="855"/>
      <c r="S37" s="855"/>
    </row>
    <row r="38" spans="1:19" x14ac:dyDescent="0.55000000000000004">
      <c r="A38" s="6"/>
      <c r="B38" s="855"/>
      <c r="C38" s="855"/>
      <c r="D38" s="855"/>
      <c r="E38" s="855"/>
      <c r="F38" s="855"/>
      <c r="G38" s="855"/>
      <c r="H38" s="855"/>
      <c r="I38" s="855"/>
      <c r="J38" s="855"/>
      <c r="K38" s="855"/>
      <c r="L38" s="855"/>
      <c r="M38" s="855"/>
      <c r="N38" s="855"/>
      <c r="O38" s="855"/>
      <c r="P38" s="855"/>
      <c r="Q38" s="855"/>
      <c r="R38" s="855"/>
      <c r="S38" s="855"/>
    </row>
    <row r="39" spans="1:19" s="6" customFormat="1" x14ac:dyDescent="0.55000000000000004">
      <c r="B39" s="855"/>
      <c r="C39" s="855"/>
      <c r="D39" s="855"/>
      <c r="E39" s="855"/>
      <c r="F39" s="855"/>
      <c r="G39" s="855"/>
      <c r="H39" s="855"/>
      <c r="I39" s="855"/>
      <c r="J39" s="855"/>
      <c r="K39" s="855"/>
      <c r="L39" s="855"/>
      <c r="M39" s="855"/>
      <c r="N39" s="855"/>
      <c r="O39" s="855"/>
      <c r="P39" s="855"/>
      <c r="Q39" s="855"/>
      <c r="R39" s="855"/>
      <c r="S39" s="855"/>
    </row>
    <row r="40" spans="1:19" s="6" customFormat="1" x14ac:dyDescent="0.55000000000000004">
      <c r="B40" s="855"/>
      <c r="C40" s="855"/>
      <c r="D40" s="855"/>
      <c r="E40" s="855"/>
      <c r="F40" s="855"/>
      <c r="G40" s="855"/>
      <c r="H40" s="855"/>
      <c r="I40" s="855"/>
      <c r="J40" s="855"/>
      <c r="K40" s="855"/>
      <c r="L40" s="855"/>
      <c r="M40" s="855"/>
      <c r="N40" s="855"/>
      <c r="O40" s="855"/>
      <c r="P40" s="855"/>
      <c r="Q40" s="855"/>
      <c r="R40" s="855"/>
      <c r="S40" s="855"/>
    </row>
    <row r="41" spans="1:19" s="6" customFormat="1" x14ac:dyDescent="0.55000000000000004">
      <c r="A41" s="335"/>
    </row>
    <row r="42" spans="1:19" s="6" customFormat="1" x14ac:dyDescent="0.55000000000000004">
      <c r="A42" s="335"/>
    </row>
    <row r="43" spans="1:19" s="6" customFormat="1" x14ac:dyDescent="0.55000000000000004">
      <c r="A43" s="335"/>
    </row>
    <row r="44" spans="1:19" s="6" customFormat="1" x14ac:dyDescent="0.55000000000000004"/>
    <row r="45" spans="1:19" s="6" customFormat="1" x14ac:dyDescent="0.55000000000000004"/>
    <row r="46" spans="1:19" s="6" customFormat="1" x14ac:dyDescent="0.55000000000000004"/>
    <row r="47" spans="1:19" s="6" customFormat="1" x14ac:dyDescent="0.55000000000000004"/>
    <row r="48" spans="1:19" s="6" customFormat="1" x14ac:dyDescent="0.55000000000000004"/>
    <row r="49" s="6" customFormat="1" x14ac:dyDescent="0.55000000000000004"/>
  </sheetData>
  <sheetProtection algorithmName="SHA-512" hashValue="aOZ8Z2pfAHZubODiCqMS9h+COBUJvzUCYK+Bs76FgOqOjhHLQji09mCbw6r856vMGi1wBm8WoaJj6YHAe+u/+A==" saltValue="DACtg3xS1a2kvEC7+zn3uw==" spinCount="100000" sheet="1" objects="1" scenarios="1" selectLockedCells="1"/>
  <mergeCells count="8">
    <mergeCell ref="B33:S34"/>
    <mergeCell ref="B35:S40"/>
    <mergeCell ref="K2:P3"/>
    <mergeCell ref="A15:D17"/>
    <mergeCell ref="G15:J17"/>
    <mergeCell ref="K16:P17"/>
    <mergeCell ref="G25:J26"/>
    <mergeCell ref="H30:J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081E-FECA-4277-BC7C-83316A9FCE55}">
  <sheetPr codeName="Blad3">
    <pageSetUpPr fitToPage="1"/>
  </sheetPr>
  <dimension ref="A1:AB80"/>
  <sheetViews>
    <sheetView topLeftCell="A2" zoomScaleNormal="100" workbookViewId="0">
      <selection activeCell="G3" sqref="G3:J4"/>
    </sheetView>
  </sheetViews>
  <sheetFormatPr defaultRowHeight="14.4" x14ac:dyDescent="0.55000000000000004"/>
  <cols>
    <col min="1" max="1" width="3" style="6" customWidth="1"/>
    <col min="2" max="2" width="1.1015625" style="6" customWidth="1"/>
    <col min="3" max="3" width="21.20703125" style="6" customWidth="1"/>
    <col min="4" max="4" width="2" style="6" customWidth="1"/>
    <col min="5" max="5" width="15.05078125" style="6" customWidth="1"/>
    <col min="6" max="6" width="3" style="6" customWidth="1"/>
    <col min="7" max="7" width="5.89453125" style="6" customWidth="1"/>
    <col min="8" max="8" width="4.20703125" style="6" customWidth="1"/>
    <col min="9" max="9" width="10.47265625" style="6" customWidth="1"/>
    <col min="10" max="10" width="4.26171875" style="6" customWidth="1"/>
    <col min="11" max="11" width="15.734375" style="6" customWidth="1"/>
    <col min="12" max="12" width="10.578125" style="6" customWidth="1"/>
    <col min="13" max="13" width="3.26171875" style="6" customWidth="1"/>
    <col min="14" max="14" width="3.68359375" style="6" customWidth="1"/>
    <col min="15" max="15" width="4.20703125" style="6" customWidth="1"/>
    <col min="16" max="16" width="6.734375" style="6" customWidth="1"/>
    <col min="17" max="17" width="9.5234375" style="6" customWidth="1"/>
    <col min="18" max="18" width="2.734375" style="6" customWidth="1"/>
    <col min="19" max="19" width="7.05078125" style="6" customWidth="1"/>
    <col min="20" max="20" width="8" style="6" customWidth="1"/>
    <col min="21" max="21" width="9.15625" style="6" customWidth="1"/>
    <col min="22" max="22" width="2.15625" style="6" customWidth="1"/>
    <col min="23" max="23" width="6.578125" style="6" customWidth="1"/>
    <col min="24" max="24" width="7.47265625" style="6" customWidth="1"/>
    <col min="25" max="25" width="9.83984375" style="6" bestFit="1" customWidth="1"/>
    <col min="26" max="26" width="10.15625" style="6" customWidth="1"/>
    <col min="27" max="27" width="1.62890625" style="6" customWidth="1"/>
    <col min="28" max="28" width="2.1015625" style="6" customWidth="1"/>
    <col min="29" max="16384" width="8.83984375" style="6"/>
  </cols>
  <sheetData>
    <row r="1" spans="1:28" ht="12.9" hidden="1" customHeight="1" x14ac:dyDescent="0.55000000000000004">
      <c r="A1" s="8"/>
      <c r="B1" s="8"/>
      <c r="C1" s="7"/>
      <c r="D1" s="7"/>
      <c r="E1" s="7"/>
      <c r="F1" s="7"/>
      <c r="G1" s="7"/>
      <c r="H1" s="7"/>
      <c r="I1" s="7"/>
      <c r="J1" s="7"/>
      <c r="K1" s="7"/>
      <c r="L1" s="7"/>
      <c r="M1" s="7"/>
      <c r="N1" s="7"/>
      <c r="O1" s="7"/>
      <c r="P1" s="7"/>
      <c r="Q1" s="7"/>
      <c r="R1" s="7"/>
      <c r="S1" s="7"/>
      <c r="T1" s="7"/>
      <c r="U1" s="7"/>
      <c r="V1" s="7"/>
      <c r="W1" s="7"/>
      <c r="X1" s="7"/>
      <c r="Y1" s="7"/>
      <c r="Z1" s="7"/>
      <c r="AA1" s="7"/>
      <c r="AB1" s="7"/>
    </row>
    <row r="2" spans="1:28" ht="16.2" customHeight="1" x14ac:dyDescent="0.55000000000000004">
      <c r="A2" s="337"/>
      <c r="B2" s="33"/>
    </row>
    <row r="3" spans="1:28" ht="17.399999999999999" customHeight="1" x14ac:dyDescent="1.4">
      <c r="B3" s="143"/>
      <c r="C3" s="181"/>
      <c r="D3" s="181"/>
      <c r="E3" s="182"/>
      <c r="G3" s="871" t="str">
        <f ca="1">B!V1</f>
        <v/>
      </c>
      <c r="H3" s="871"/>
      <c r="I3" s="871"/>
      <c r="J3" s="871"/>
      <c r="K3" s="863" t="s">
        <v>597</v>
      </c>
      <c r="L3" s="863"/>
      <c r="M3" s="33"/>
      <c r="O3" s="33"/>
      <c r="P3" s="33"/>
      <c r="Q3" s="33"/>
      <c r="R3" s="33"/>
      <c r="S3" s="33"/>
      <c r="T3" s="33"/>
      <c r="V3" s="33"/>
      <c r="W3" s="33"/>
      <c r="X3" s="33"/>
      <c r="Y3" s="864" t="s">
        <v>577</v>
      </c>
      <c r="Z3" s="864"/>
      <c r="AA3" s="864"/>
      <c r="AB3" s="864"/>
    </row>
    <row r="4" spans="1:28" ht="21.3" customHeight="1" x14ac:dyDescent="0.8">
      <c r="C4" s="12"/>
      <c r="D4" s="12"/>
      <c r="E4" s="12"/>
      <c r="F4" s="12"/>
      <c r="G4" s="871"/>
      <c r="H4" s="871"/>
      <c r="I4" s="871"/>
      <c r="J4" s="871"/>
      <c r="K4" s="863"/>
      <c r="L4" s="863"/>
      <c r="U4" s="236"/>
      <c r="Y4" s="864"/>
      <c r="Z4" s="864"/>
      <c r="AA4" s="864"/>
      <c r="AB4" s="864"/>
    </row>
    <row r="5" spans="1:28" ht="9.9" customHeight="1" x14ac:dyDescent="0.55000000000000004">
      <c r="G5" s="874" t="str" cm="1">
        <f t="array" aca="1" ref="G5" ca="1">_xlfn.IFS(J5&gt;=J6,"",TRUE,"Downloaden update")</f>
        <v/>
      </c>
      <c r="H5" s="874"/>
      <c r="I5" s="874"/>
      <c r="J5" s="550">
        <f>B!T2</f>
        <v>44084</v>
      </c>
      <c r="L5" s="237"/>
      <c r="AB5" s="96"/>
    </row>
    <row r="6" spans="1:28" x14ac:dyDescent="0.55000000000000004">
      <c r="J6" s="551">
        <f ca="1">TODAY()</f>
        <v>44063</v>
      </c>
      <c r="K6" s="155"/>
      <c r="L6" s="159"/>
      <c r="M6" s="159"/>
      <c r="N6" s="280"/>
      <c r="O6" s="96"/>
      <c r="P6" s="159"/>
      <c r="Q6" s="238" t="str">
        <f>B!AI34</f>
        <v/>
      </c>
      <c r="R6" s="238"/>
      <c r="S6" s="155"/>
      <c r="T6" s="96"/>
      <c r="U6" s="239" t="str">
        <f>B!Z52</f>
        <v/>
      </c>
      <c r="V6" s="239"/>
      <c r="W6" s="286"/>
      <c r="X6" s="159"/>
      <c r="Y6" s="238" t="str">
        <f>B!Z35</f>
        <v/>
      </c>
      <c r="Z6" s="238"/>
      <c r="AA6" s="96"/>
      <c r="AB6" s="96"/>
    </row>
    <row r="7" spans="1:28" ht="5.4" customHeight="1" x14ac:dyDescent="0.55000000000000004">
      <c r="A7" s="12"/>
      <c r="B7" s="12"/>
      <c r="E7" s="12"/>
      <c r="J7" s="96"/>
      <c r="K7" s="155"/>
      <c r="L7" s="159"/>
      <c r="M7" s="159"/>
      <c r="N7" s="280"/>
      <c r="O7" s="96"/>
      <c r="P7" s="159"/>
      <c r="Q7" s="241"/>
      <c r="R7" s="238"/>
      <c r="S7" s="155"/>
      <c r="T7" s="96"/>
      <c r="U7" s="239"/>
      <c r="V7" s="239"/>
      <c r="W7" s="286"/>
      <c r="X7" s="159"/>
      <c r="Y7" s="238"/>
      <c r="Z7" s="242"/>
      <c r="AA7" s="96"/>
      <c r="AB7" s="96"/>
    </row>
    <row r="8" spans="1:28" x14ac:dyDescent="0.55000000000000004">
      <c r="A8" s="12"/>
      <c r="B8" s="12"/>
      <c r="C8" s="183" t="s">
        <v>0</v>
      </c>
      <c r="D8" s="184"/>
      <c r="E8" s="303">
        <v>36558</v>
      </c>
      <c r="F8" s="33"/>
      <c r="G8" s="243" t="str">
        <f ca="1">B!Z13</f>
        <v xml:space="preserve">  Voer de datum in!</v>
      </c>
      <c r="H8" s="33"/>
      <c r="I8" s="33"/>
      <c r="J8" s="96"/>
      <c r="K8" s="289" t="str">
        <f>B!AI37</f>
        <v/>
      </c>
      <c r="L8" s="96"/>
      <c r="M8" s="159"/>
      <c r="N8" s="280"/>
      <c r="O8" s="159"/>
      <c r="P8" s="244" t="str">
        <f>B!AK37</f>
        <v/>
      </c>
      <c r="Q8" s="244" t="str">
        <f>B!AL37</f>
        <v/>
      </c>
      <c r="R8" s="245"/>
      <c r="S8" s="280"/>
      <c r="T8" s="244" t="str">
        <f>B!AK37</f>
        <v/>
      </c>
      <c r="U8" s="244" t="str">
        <f>B!AL37</f>
        <v/>
      </c>
      <c r="V8" s="245"/>
      <c r="W8" s="286"/>
      <c r="X8" s="159"/>
      <c r="Y8" s="247" t="str">
        <f>B!Z36</f>
        <v/>
      </c>
      <c r="Z8" s="247" t="str">
        <f>B!AD36</f>
        <v/>
      </c>
      <c r="AA8" s="96"/>
      <c r="AB8" s="96"/>
    </row>
    <row r="9" spans="1:28" ht="6" customHeight="1" x14ac:dyDescent="0.55000000000000004">
      <c r="A9" s="12"/>
      <c r="B9" s="12"/>
      <c r="C9" s="185"/>
      <c r="D9" s="33"/>
      <c r="E9" s="12"/>
      <c r="F9" s="142"/>
      <c r="G9" s="33"/>
      <c r="H9" s="33"/>
      <c r="I9" s="33"/>
      <c r="K9" s="289"/>
      <c r="L9" s="96"/>
      <c r="M9" s="159"/>
      <c r="N9" s="280"/>
      <c r="O9" s="159"/>
      <c r="P9" s="244"/>
      <c r="Q9" s="244"/>
      <c r="R9" s="245"/>
      <c r="S9" s="280"/>
      <c r="T9" s="244"/>
      <c r="U9" s="244"/>
      <c r="V9" s="245"/>
      <c r="W9" s="286"/>
      <c r="X9" s="159"/>
      <c r="Y9" s="247"/>
      <c r="Z9" s="247"/>
      <c r="AA9" s="96"/>
    </row>
    <row r="10" spans="1:28" x14ac:dyDescent="0.55000000000000004">
      <c r="A10" s="12"/>
      <c r="B10" s="12"/>
      <c r="C10" s="183" t="s">
        <v>534</v>
      </c>
      <c r="D10" s="184"/>
      <c r="E10" s="303">
        <f ca="1">TODAY()</f>
        <v>44063</v>
      </c>
      <c r="F10" s="186"/>
      <c r="G10" s="141" t="str">
        <f ca="1">B!Z14</f>
        <v/>
      </c>
      <c r="H10" s="187"/>
      <c r="I10" s="96"/>
      <c r="J10" s="96"/>
      <c r="K10" s="289" t="str">
        <f>B!AI38</f>
        <v/>
      </c>
      <c r="L10" s="96"/>
      <c r="M10" s="159"/>
      <c r="N10" s="280"/>
      <c r="O10" s="159"/>
      <c r="P10" s="246"/>
      <c r="Q10" s="248" t="str">
        <f>B!AK38</f>
        <v/>
      </c>
      <c r="R10" s="248"/>
      <c r="S10" s="282" t="str">
        <f>B!AN38</f>
        <v/>
      </c>
      <c r="T10" s="246"/>
      <c r="U10" s="248" t="str">
        <f>B!AL38</f>
        <v/>
      </c>
      <c r="V10" s="248"/>
      <c r="W10" s="287"/>
      <c r="X10" s="250" t="str">
        <f>B!Z34</f>
        <v/>
      </c>
      <c r="Y10" s="641">
        <f ca="1">TODAY()</f>
        <v>44063</v>
      </c>
      <c r="Z10" s="641">
        <f ca="1">TODAY()+220</f>
        <v>44283</v>
      </c>
      <c r="AA10" s="96"/>
    </row>
    <row r="11" spans="1:28" ht="5.7" customHeight="1" x14ac:dyDescent="0.55000000000000004">
      <c r="A11" s="12"/>
      <c r="B11" s="12"/>
      <c r="C11" s="183"/>
      <c r="D11" s="184"/>
      <c r="E11" s="184"/>
      <c r="F11" s="186"/>
      <c r="H11" s="187"/>
      <c r="I11" s="96"/>
      <c r="J11" s="96"/>
      <c r="K11" s="289"/>
      <c r="L11" s="96"/>
      <c r="M11" s="159"/>
      <c r="N11" s="280"/>
      <c r="O11" s="159"/>
      <c r="P11" s="246"/>
      <c r="Q11" s="248"/>
      <c r="R11" s="248"/>
      <c r="S11" s="155"/>
      <c r="T11" s="246"/>
      <c r="U11" s="248"/>
      <c r="V11" s="248"/>
      <c r="W11" s="287"/>
      <c r="X11" s="159"/>
      <c r="Y11" s="159"/>
      <c r="Z11" s="159"/>
      <c r="AA11" s="96"/>
    </row>
    <row r="12" spans="1:28" x14ac:dyDescent="0.55000000000000004">
      <c r="A12" s="12"/>
      <c r="B12" s="12"/>
      <c r="C12" s="183" t="s">
        <v>535</v>
      </c>
      <c r="D12" s="184"/>
      <c r="E12" s="304">
        <v>0</v>
      </c>
      <c r="F12" s="33"/>
      <c r="G12" s="243" t="str">
        <f ca="1">B!Z15</f>
        <v xml:space="preserve">  Voer het loon in!</v>
      </c>
      <c r="I12" s="96"/>
      <c r="J12" s="96"/>
      <c r="K12" s="289" t="str">
        <f>B!AI40</f>
        <v/>
      </c>
      <c r="L12" s="251" t="str">
        <f>B!AK38</f>
        <v/>
      </c>
      <c r="M12" s="96"/>
      <c r="N12" s="281"/>
      <c r="O12" s="159"/>
      <c r="P12" s="246"/>
      <c r="Q12" s="252" t="str">
        <f>B!AK40</f>
        <v/>
      </c>
      <c r="R12" s="252"/>
      <c r="S12" s="283"/>
      <c r="T12" s="254"/>
      <c r="U12" s="252" t="str">
        <f>B!AL40</f>
        <v/>
      </c>
      <c r="V12" s="252"/>
      <c r="W12" s="286"/>
      <c r="X12" s="159"/>
      <c r="Y12" s="159" t="str">
        <f>B!Z42</f>
        <v/>
      </c>
      <c r="Z12" s="252" t="str">
        <f>B!AD42</f>
        <v/>
      </c>
    </row>
    <row r="13" spans="1:28" ht="3" customHeight="1" x14ac:dyDescent="0.55000000000000004">
      <c r="A13" s="12"/>
      <c r="B13" s="12"/>
      <c r="C13" s="183"/>
      <c r="D13" s="184"/>
      <c r="E13" s="198"/>
      <c r="F13" s="33"/>
      <c r="G13" s="33"/>
      <c r="I13" s="96"/>
      <c r="J13" s="96"/>
      <c r="K13" s="289"/>
      <c r="L13" s="251"/>
      <c r="M13" s="96"/>
      <c r="N13" s="281"/>
      <c r="O13" s="159"/>
      <c r="P13" s="246"/>
      <c r="Q13" s="252"/>
      <c r="R13" s="252"/>
      <c r="S13" s="283"/>
      <c r="T13" s="254"/>
      <c r="U13" s="252"/>
      <c r="V13" s="252"/>
      <c r="W13" s="286"/>
      <c r="X13" s="159"/>
      <c r="Y13" s="159"/>
      <c r="Z13" s="252"/>
    </row>
    <row r="14" spans="1:28" x14ac:dyDescent="0.55000000000000004">
      <c r="A14" s="12"/>
      <c r="B14" s="12"/>
      <c r="C14" s="185"/>
      <c r="F14" s="33"/>
      <c r="G14" s="33"/>
      <c r="H14" s="187"/>
      <c r="I14" s="33"/>
      <c r="J14" s="96"/>
      <c r="K14" s="289" t="str">
        <f>B!Z39</f>
        <v/>
      </c>
      <c r="L14" s="96"/>
      <c r="M14" s="96"/>
      <c r="N14" s="155"/>
      <c r="O14" s="96"/>
      <c r="P14" s="159"/>
      <c r="Q14" s="256"/>
      <c r="R14" s="256"/>
      <c r="S14" s="283"/>
      <c r="T14" s="144"/>
      <c r="U14" s="144"/>
      <c r="V14" s="144"/>
      <c r="W14" s="286"/>
      <c r="X14" s="159"/>
      <c r="Y14" s="252" t="str">
        <f>B!Z38</f>
        <v/>
      </c>
      <c r="Z14" s="96" t="str">
        <f>B!Z40</f>
        <v/>
      </c>
    </row>
    <row r="15" spans="1:28" ht="3.6" customHeight="1" x14ac:dyDescent="0.55000000000000004">
      <c r="A15" s="12"/>
      <c r="B15" s="12"/>
      <c r="C15" s="185"/>
      <c r="E15" s="12"/>
      <c r="F15" s="33"/>
      <c r="G15" s="33"/>
      <c r="H15" s="187"/>
      <c r="I15" s="33"/>
      <c r="J15" s="96"/>
      <c r="K15" s="289"/>
      <c r="L15" s="96"/>
      <c r="M15" s="96"/>
      <c r="N15" s="155"/>
      <c r="O15" s="96"/>
      <c r="P15" s="159"/>
      <c r="Q15" s="256"/>
      <c r="R15" s="256"/>
      <c r="S15" s="283"/>
      <c r="T15" s="144"/>
      <c r="U15" s="144"/>
      <c r="V15" s="144"/>
      <c r="W15" s="286"/>
      <c r="X15" s="159"/>
      <c r="Y15" s="252"/>
      <c r="Z15" s="96"/>
    </row>
    <row r="16" spans="1:28" x14ac:dyDescent="0.55000000000000004">
      <c r="A16" s="12"/>
      <c r="B16" s="12"/>
      <c r="C16" s="183" t="s">
        <v>830</v>
      </c>
      <c r="D16" s="184"/>
      <c r="E16" s="869" t="s">
        <v>831</v>
      </c>
      <c r="F16" s="869"/>
      <c r="G16" s="869"/>
      <c r="H16" s="869"/>
      <c r="I16" s="869"/>
      <c r="J16" s="64"/>
      <c r="K16" s="289" t="str">
        <f>B!AI41</f>
        <v/>
      </c>
      <c r="L16" s="96"/>
      <c r="M16" s="159"/>
      <c r="N16" s="280"/>
      <c r="O16" s="159"/>
      <c r="P16" s="246"/>
      <c r="Q16" s="252" t="str">
        <f>B!AI43</f>
        <v/>
      </c>
      <c r="R16" s="252"/>
      <c r="S16" s="283"/>
      <c r="T16" s="254"/>
      <c r="U16" s="252" t="str">
        <f>B!AK41</f>
        <v/>
      </c>
      <c r="V16" s="252"/>
      <c r="W16" s="286"/>
      <c r="X16" s="159"/>
      <c r="Y16" s="252" t="str">
        <f>B!Z43</f>
        <v/>
      </c>
      <c r="Z16" s="252" t="str">
        <f>B!AD43</f>
        <v/>
      </c>
    </row>
    <row r="17" spans="1:28" x14ac:dyDescent="0.55000000000000004">
      <c r="A17" s="12"/>
      <c r="B17" s="12"/>
      <c r="C17" s="642" t="str" cm="1">
        <f t="array" ref="C17">_xlfn.IFS(E16="Einde tijdelijk dienstverband","Wilt u eerder stoppen?",TRUE,"")</f>
        <v/>
      </c>
      <c r="E17" s="875" t="s">
        <v>832</v>
      </c>
      <c r="F17" s="875"/>
      <c r="G17" s="875"/>
      <c r="H17" s="875"/>
      <c r="I17" s="875"/>
      <c r="J17" s="96"/>
      <c r="K17" s="289" t="str">
        <f>B!AI42</f>
        <v/>
      </c>
      <c r="L17" s="96"/>
      <c r="M17" s="159"/>
      <c r="N17" s="280"/>
      <c r="O17" s="159"/>
      <c r="P17" s="246"/>
      <c r="Q17" s="252" t="str">
        <f>B!AI43</f>
        <v/>
      </c>
      <c r="R17" s="252"/>
      <c r="S17" s="283"/>
      <c r="T17" s="254"/>
      <c r="U17" s="252" t="str">
        <f>B!AK42</f>
        <v/>
      </c>
      <c r="V17" s="252"/>
      <c r="W17" s="286"/>
      <c r="X17" s="159"/>
      <c r="Y17" s="159" t="str">
        <f>B!Z44</f>
        <v/>
      </c>
      <c r="Z17" s="252" t="str">
        <f>B!AD44</f>
        <v/>
      </c>
    </row>
    <row r="18" spans="1:28" ht="5.4" customHeight="1" x14ac:dyDescent="0.55000000000000004">
      <c r="A18" s="12"/>
      <c r="B18" s="12"/>
      <c r="J18" s="12"/>
      <c r="K18" s="289"/>
      <c r="L18" s="96"/>
      <c r="M18" s="159"/>
      <c r="N18" s="280"/>
      <c r="O18" s="159"/>
      <c r="P18" s="246"/>
      <c r="Q18" s="252"/>
      <c r="R18" s="252"/>
      <c r="S18" s="283"/>
      <c r="T18" s="254"/>
      <c r="U18" s="252"/>
      <c r="V18" s="252"/>
      <c r="W18" s="286"/>
      <c r="X18" s="159"/>
      <c r="Y18" s="159"/>
      <c r="Z18" s="252"/>
    </row>
    <row r="19" spans="1:28" x14ac:dyDescent="0.55000000000000004">
      <c r="A19" s="12"/>
      <c r="B19" s="12"/>
      <c r="C19" s="188" t="str">
        <f>B!Z59</f>
        <v/>
      </c>
      <c r="D19" s="189"/>
      <c r="E19" s="190"/>
      <c r="F19" s="96"/>
      <c r="G19" s="12"/>
      <c r="H19" s="12"/>
      <c r="I19" s="12"/>
      <c r="K19" s="289" t="str">
        <f>B!AI39</f>
        <v/>
      </c>
      <c r="L19" s="96"/>
      <c r="M19" s="159"/>
      <c r="N19" s="155"/>
      <c r="O19" s="159"/>
      <c r="P19" s="246"/>
      <c r="Q19" s="254" t="str">
        <f>B!AK39</f>
        <v/>
      </c>
      <c r="R19" s="254"/>
      <c r="S19" s="283"/>
      <c r="T19" s="253"/>
      <c r="U19" s="253" t="str">
        <f>B!AK39</f>
        <v/>
      </c>
      <c r="V19" s="253"/>
      <c r="W19" s="286"/>
      <c r="X19" s="159"/>
      <c r="Y19" s="159" t="str">
        <f>B!Z49</f>
        <v/>
      </c>
      <c r="Z19" s="252" t="str">
        <f>B!AD49</f>
        <v/>
      </c>
    </row>
    <row r="20" spans="1:28" ht="14.4" customHeight="1" x14ac:dyDescent="0.55000000000000004">
      <c r="A20" s="12"/>
      <c r="B20" s="12"/>
      <c r="C20" s="136" t="str">
        <f>B!Z60</f>
        <v/>
      </c>
      <c r="D20" s="191"/>
      <c r="E20" s="191"/>
      <c r="F20" s="870" t="s">
        <v>592</v>
      </c>
      <c r="G20" s="870"/>
      <c r="H20" s="870"/>
      <c r="I20" s="870"/>
      <c r="K20" s="289" t="str">
        <f>B!Z56</f>
        <v/>
      </c>
      <c r="L20" s="159"/>
      <c r="M20" s="159"/>
      <c r="N20" s="280"/>
      <c r="O20" s="159"/>
      <c r="P20" s="246"/>
      <c r="Q20" s="254"/>
      <c r="R20" s="254"/>
      <c r="S20" s="284"/>
      <c r="T20" s="254"/>
      <c r="U20" s="252" t="str">
        <f>B!Z53</f>
        <v/>
      </c>
      <c r="V20" s="257"/>
      <c r="W20" s="288"/>
      <c r="X20" s="159"/>
      <c r="Y20" s="252"/>
      <c r="Z20" s="258"/>
    </row>
    <row r="21" spans="1:28" ht="14.4" customHeight="1" x14ac:dyDescent="0.55000000000000004">
      <c r="A21" s="12"/>
      <c r="B21" s="12"/>
      <c r="C21" s="136" t="str">
        <f>B!Z61</f>
        <v/>
      </c>
      <c r="D21" s="191"/>
      <c r="E21" s="191"/>
      <c r="F21" s="870" t="s">
        <v>592</v>
      </c>
      <c r="G21" s="870"/>
      <c r="H21" s="870"/>
      <c r="I21" s="870"/>
      <c r="K21" s="289" t="str">
        <f>B!Z57</f>
        <v/>
      </c>
      <c r="L21" s="159"/>
      <c r="M21" s="159"/>
      <c r="N21" s="280"/>
      <c r="O21" s="159"/>
      <c r="P21" s="246"/>
      <c r="Q21" s="254"/>
      <c r="R21" s="254"/>
      <c r="S21" s="285"/>
      <c r="T21" s="254"/>
      <c r="U21" s="144" t="str">
        <f>B!AE54</f>
        <v/>
      </c>
      <c r="V21" s="96"/>
      <c r="W21" s="155"/>
      <c r="X21" s="159"/>
      <c r="Y21" s="254"/>
      <c r="Z21" s="96"/>
    </row>
    <row r="22" spans="1:28" ht="14.4" customHeight="1" x14ac:dyDescent="0.55000000000000004">
      <c r="A22" s="12"/>
      <c r="B22" s="12"/>
      <c r="C22" s="136" t="str">
        <f>B!Z62</f>
        <v/>
      </c>
      <c r="D22" s="191"/>
      <c r="E22" s="191"/>
      <c r="F22" s="870" t="s">
        <v>592</v>
      </c>
      <c r="G22" s="870"/>
      <c r="H22" s="870"/>
      <c r="I22" s="870"/>
      <c r="K22" s="289" t="str">
        <f>B!Z58</f>
        <v/>
      </c>
      <c r="L22" s="159"/>
      <c r="M22" s="159"/>
      <c r="N22" s="280"/>
      <c r="O22" s="159"/>
      <c r="P22" s="246"/>
      <c r="Q22" s="254"/>
      <c r="R22" s="254"/>
      <c r="S22" s="284"/>
      <c r="T22" s="254"/>
      <c r="U22" s="252" t="str">
        <f>B!Z55</f>
        <v/>
      </c>
      <c r="V22" s="252"/>
      <c r="W22" s="286"/>
      <c r="X22" s="159"/>
      <c r="Y22" s="159"/>
      <c r="Z22" s="96"/>
    </row>
    <row r="23" spans="1:28" ht="10.199999999999999" customHeight="1" x14ac:dyDescent="0.55000000000000004">
      <c r="G23" s="12"/>
      <c r="H23" s="12"/>
      <c r="I23" s="12"/>
      <c r="K23" s="259"/>
      <c r="L23" s="240"/>
      <c r="M23" s="240"/>
      <c r="N23" s="240"/>
      <c r="O23" s="240"/>
      <c r="P23" s="246"/>
      <c r="Q23" s="254"/>
      <c r="R23" s="254"/>
      <c r="S23" s="260"/>
      <c r="T23" s="260"/>
      <c r="U23" s="261"/>
      <c r="V23" s="252"/>
      <c r="W23" s="255"/>
      <c r="X23" s="159"/>
      <c r="Y23" s="159"/>
      <c r="Z23" s="96"/>
    </row>
    <row r="24" spans="1:28" s="16" customFormat="1" ht="19.2" customHeight="1" x14ac:dyDescent="0.55000000000000004">
      <c r="A24" s="147"/>
      <c r="B24" s="147"/>
      <c r="K24" s="262" t="str">
        <f>B!AI47</f>
        <v/>
      </c>
      <c r="L24" s="263"/>
      <c r="M24" s="264"/>
      <c r="N24" s="263"/>
      <c r="O24" s="263"/>
      <c r="P24" s="265"/>
      <c r="Q24" s="266" t="str">
        <f>B!AK47</f>
        <v/>
      </c>
      <c r="R24" s="266"/>
      <c r="S24" s="267"/>
      <c r="T24" s="267"/>
      <c r="U24" s="266" t="str">
        <f>B!AL47</f>
        <v/>
      </c>
      <c r="V24" s="268"/>
      <c r="W24" s="269"/>
      <c r="X24" s="264"/>
      <c r="Y24" s="266" t="str">
        <f>B!Z45</f>
        <v/>
      </c>
      <c r="Z24" s="266" t="str">
        <f>B!AD45</f>
        <v/>
      </c>
    </row>
    <row r="25" spans="1:28" ht="10.199999999999999" customHeight="1" x14ac:dyDescent="0.7">
      <c r="A25" s="12"/>
      <c r="B25" s="12"/>
      <c r="C25" s="148"/>
      <c r="D25" s="148"/>
      <c r="E25" s="148"/>
      <c r="F25" s="148"/>
      <c r="G25" s="148"/>
      <c r="H25" s="148"/>
      <c r="I25" s="148"/>
      <c r="K25" s="96"/>
      <c r="L25" s="270"/>
      <c r="M25" s="270"/>
      <c r="N25" s="270"/>
      <c r="O25" s="270"/>
      <c r="P25" s="270"/>
      <c r="Q25" s="270"/>
      <c r="R25" s="270"/>
      <c r="S25" s="270"/>
      <c r="T25" s="270"/>
      <c r="U25" s="270"/>
      <c r="V25" s="270"/>
      <c r="W25" s="270"/>
      <c r="X25" s="270"/>
      <c r="Y25" s="270"/>
      <c r="Z25" s="270"/>
      <c r="AA25" s="270"/>
    </row>
    <row r="26" spans="1:28" s="114" customFormat="1" ht="7.5" customHeight="1" x14ac:dyDescent="0.55000000000000004">
      <c r="A26" s="12"/>
      <c r="B26" s="12"/>
      <c r="C26" s="12"/>
      <c r="D26" s="12"/>
      <c r="E26" s="12"/>
      <c r="F26" s="12"/>
      <c r="G26" s="12"/>
      <c r="H26" s="12"/>
      <c r="I26" s="12"/>
      <c r="J26" s="64"/>
      <c r="K26" s="172"/>
      <c r="L26" s="172"/>
      <c r="M26" s="172"/>
      <c r="N26" s="172"/>
      <c r="O26" s="172"/>
      <c r="P26" s="172"/>
      <c r="Q26" s="172"/>
      <c r="R26" s="172"/>
      <c r="S26" s="172"/>
      <c r="T26" s="172"/>
      <c r="U26" s="172"/>
      <c r="V26" s="172"/>
      <c r="W26" s="172"/>
      <c r="X26" s="172"/>
      <c r="Y26" s="173"/>
      <c r="Z26" s="174"/>
      <c r="AA26" s="172"/>
      <c r="AB26" s="172"/>
    </row>
    <row r="27" spans="1:28" s="114" customFormat="1" ht="18.3" customHeight="1" x14ac:dyDescent="0.7">
      <c r="A27" s="12"/>
      <c r="B27" s="12"/>
      <c r="C27" s="183" t="s">
        <v>642</v>
      </c>
      <c r="D27" s="12"/>
      <c r="E27" s="12"/>
      <c r="F27" s="12"/>
      <c r="I27" s="311" t="s">
        <v>225</v>
      </c>
      <c r="J27" s="302" cm="1">
        <f t="array" ref="J27">_xlfn.IFS(I27="Ja",1,(SUM(G31:H36,P31,P36))&gt;0,1,TRUE,0)</f>
        <v>0</v>
      </c>
      <c r="K27" s="177" t="str">
        <f ca="1">B!AF65</f>
        <v/>
      </c>
      <c r="L27" s="172"/>
      <c r="M27" s="172"/>
      <c r="N27" s="172"/>
      <c r="O27" s="175"/>
      <c r="P27" s="178" t="str">
        <f ca="1">B!AH65</f>
        <v/>
      </c>
      <c r="Q27" s="176"/>
      <c r="R27" s="176"/>
      <c r="S27" s="176"/>
      <c r="T27" s="176"/>
      <c r="U27" s="176"/>
      <c r="V27" s="176"/>
      <c r="W27" s="176"/>
      <c r="X27" s="176"/>
      <c r="Y27" s="176"/>
      <c r="Z27" s="176"/>
      <c r="AA27" s="172"/>
      <c r="AB27" s="172"/>
    </row>
    <row r="28" spans="1:28" s="114" customFormat="1" ht="9" customHeight="1" x14ac:dyDescent="0.55000000000000004">
      <c r="A28" s="12"/>
      <c r="B28" s="12"/>
      <c r="C28" s="12"/>
      <c r="D28" s="12"/>
      <c r="E28" s="12"/>
      <c r="F28" s="12"/>
      <c r="G28" s="12"/>
      <c r="H28" s="12"/>
      <c r="I28" s="12"/>
      <c r="J28" s="64"/>
      <c r="K28" s="172"/>
      <c r="L28" s="172"/>
      <c r="M28" s="172"/>
      <c r="N28" s="175"/>
      <c r="O28" s="175"/>
      <c r="P28" s="176"/>
      <c r="Q28" s="176"/>
      <c r="R28" s="176"/>
      <c r="S28" s="176"/>
      <c r="T28" s="176"/>
      <c r="U28" s="176"/>
      <c r="V28" s="176"/>
      <c r="W28" s="176"/>
      <c r="X28" s="176"/>
      <c r="Y28" s="176"/>
      <c r="Z28" s="176"/>
      <c r="AA28" s="172"/>
      <c r="AB28" s="172"/>
    </row>
    <row r="29" spans="1:28" s="114" customFormat="1" ht="13.5" customHeight="1" x14ac:dyDescent="0.55000000000000004">
      <c r="A29" s="12"/>
      <c r="B29" s="12"/>
      <c r="D29" s="12"/>
      <c r="E29" s="12"/>
      <c r="F29" s="12"/>
      <c r="G29" s="12"/>
      <c r="H29" s="12"/>
      <c r="I29" s="12"/>
      <c r="J29" s="64"/>
      <c r="N29" s="116"/>
      <c r="O29" s="116"/>
      <c r="P29" s="116"/>
      <c r="Q29" s="116"/>
      <c r="R29" s="116"/>
      <c r="S29" s="116"/>
      <c r="T29" s="116"/>
      <c r="U29" s="116"/>
      <c r="V29" s="116"/>
      <c r="W29" s="116"/>
      <c r="X29" s="116"/>
      <c r="Y29" s="116"/>
      <c r="Z29" s="116"/>
    </row>
    <row r="30" spans="1:28" s="117" customFormat="1" ht="19.5" customHeight="1" x14ac:dyDescent="0.55000000000000004">
      <c r="A30" s="6"/>
      <c r="B30" s="6"/>
      <c r="C30" s="192" t="s">
        <v>593</v>
      </c>
      <c r="D30" s="193"/>
      <c r="E30" s="194"/>
      <c r="F30" s="195"/>
      <c r="H30" s="312"/>
      <c r="I30" s="312" t="s">
        <v>454</v>
      </c>
      <c r="J30" s="6"/>
      <c r="K30" s="125" t="s">
        <v>594</v>
      </c>
      <c r="L30" s="118"/>
      <c r="M30" s="119"/>
      <c r="N30" s="179"/>
      <c r="P30" s="180" t="s">
        <v>454</v>
      </c>
      <c r="S30" s="120" t="s">
        <v>595</v>
      </c>
      <c r="T30" s="120"/>
      <c r="U30" s="121"/>
      <c r="V30" s="122"/>
      <c r="W30" s="122"/>
      <c r="X30" s="114"/>
      <c r="Z30" s="180" t="s">
        <v>454</v>
      </c>
      <c r="AA30" s="114"/>
    </row>
    <row r="31" spans="1:28" s="114" customFormat="1" ht="14.4" customHeight="1" x14ac:dyDescent="0.55000000000000004">
      <c r="A31" s="12"/>
      <c r="B31" s="12"/>
      <c r="C31" s="196" t="s">
        <v>747</v>
      </c>
      <c r="D31" s="64"/>
      <c r="E31" s="64"/>
      <c r="F31" s="12"/>
      <c r="H31" s="64"/>
      <c r="I31" s="313">
        <v>0</v>
      </c>
      <c r="J31" s="12"/>
      <c r="K31" s="126" t="s">
        <v>25</v>
      </c>
      <c r="L31" s="115"/>
      <c r="P31" s="305">
        <v>0</v>
      </c>
      <c r="S31" s="121" t="s">
        <v>536</v>
      </c>
      <c r="T31" s="115"/>
      <c r="Z31" s="306">
        <v>8</v>
      </c>
    </row>
    <row r="32" spans="1:28" s="114" customFormat="1" x14ac:dyDescent="0.55000000000000004">
      <c r="A32" s="12"/>
      <c r="B32" s="12"/>
      <c r="C32" s="196" t="s">
        <v>748</v>
      </c>
      <c r="D32" s="64"/>
      <c r="E32" s="64"/>
      <c r="F32" s="12"/>
      <c r="H32" s="64"/>
      <c r="I32" s="313">
        <v>0</v>
      </c>
      <c r="J32" s="12"/>
      <c r="K32" s="199" t="s">
        <v>29</v>
      </c>
      <c r="L32" s="123"/>
      <c r="P32" s="306">
        <v>40</v>
      </c>
      <c r="S32" s="122" t="s">
        <v>596</v>
      </c>
      <c r="T32" s="122"/>
      <c r="U32" s="122"/>
      <c r="V32" s="117"/>
      <c r="Y32" s="124"/>
      <c r="Z32" s="308" t="s">
        <v>95</v>
      </c>
    </row>
    <row r="33" spans="1:28" s="114" customFormat="1" x14ac:dyDescent="0.55000000000000004">
      <c r="A33" s="12"/>
      <c r="B33" s="12"/>
      <c r="C33" s="196" t="s">
        <v>749</v>
      </c>
      <c r="D33" s="64"/>
      <c r="E33" s="64"/>
      <c r="F33" s="12"/>
      <c r="I33" s="313">
        <v>0</v>
      </c>
      <c r="K33" s="126" t="s">
        <v>30</v>
      </c>
      <c r="L33" s="115"/>
      <c r="P33" s="305">
        <v>20</v>
      </c>
      <c r="S33" s="122" t="s">
        <v>437</v>
      </c>
      <c r="T33" s="122"/>
      <c r="U33" s="122"/>
      <c r="V33" s="117"/>
      <c r="Y33" s="124"/>
      <c r="Z33" s="307">
        <v>0</v>
      </c>
    </row>
    <row r="34" spans="1:28" s="114" customFormat="1" x14ac:dyDescent="0.55000000000000004">
      <c r="A34" s="12"/>
      <c r="B34" s="12"/>
      <c r="C34" s="196" t="s">
        <v>750</v>
      </c>
      <c r="D34" s="64"/>
      <c r="E34" s="64"/>
      <c r="F34" s="12"/>
      <c r="I34" s="313">
        <v>0</v>
      </c>
      <c r="J34" s="12"/>
      <c r="K34" s="200"/>
    </row>
    <row r="35" spans="1:28" s="114" customFormat="1" x14ac:dyDescent="0.55000000000000004">
      <c r="A35" s="12"/>
      <c r="B35" s="12"/>
      <c r="C35" s="196" t="s">
        <v>752</v>
      </c>
      <c r="D35" s="64"/>
      <c r="E35" s="64"/>
      <c r="F35" s="12"/>
      <c r="H35" s="64"/>
      <c r="I35" s="313">
        <v>0</v>
      </c>
      <c r="J35" s="12"/>
      <c r="K35" s="125" t="s">
        <v>533</v>
      </c>
      <c r="S35" s="122" t="s">
        <v>756</v>
      </c>
      <c r="T35" s="122"/>
      <c r="U35" s="122"/>
      <c r="V35" s="117"/>
      <c r="Y35" s="124"/>
      <c r="Z35" s="307">
        <v>5000</v>
      </c>
    </row>
    <row r="36" spans="1:28" s="114" customFormat="1" x14ac:dyDescent="0.55000000000000004">
      <c r="A36" s="12"/>
      <c r="B36" s="12"/>
      <c r="C36" s="196" t="s">
        <v>751</v>
      </c>
      <c r="D36" s="64"/>
      <c r="E36" s="64"/>
      <c r="F36" s="12"/>
      <c r="H36" s="12"/>
      <c r="I36" s="313">
        <v>0</v>
      </c>
      <c r="J36" s="12"/>
      <c r="K36" s="199" t="s">
        <v>532</v>
      </c>
      <c r="L36" s="123"/>
      <c r="P36" s="305">
        <v>0</v>
      </c>
      <c r="S36" s="122" t="s">
        <v>591</v>
      </c>
      <c r="T36" s="122"/>
      <c r="U36" s="122"/>
      <c r="V36" s="117"/>
      <c r="Y36" s="124"/>
      <c r="Z36" s="307">
        <v>1.1499999999999999</v>
      </c>
    </row>
    <row r="37" spans="1:28" s="114" customFormat="1" ht="24.9" customHeight="1" x14ac:dyDescent="0.55000000000000004">
      <c r="A37" s="12"/>
      <c r="B37" s="12"/>
      <c r="D37" s="12"/>
      <c r="E37" s="12"/>
      <c r="F37" s="12"/>
      <c r="G37" s="12"/>
      <c r="H37" s="64"/>
      <c r="I37" s="12"/>
      <c r="J37" s="12"/>
    </row>
    <row r="38" spans="1:28" s="114" customFormat="1" ht="15.9" customHeight="1" x14ac:dyDescent="0.55000000000000004">
      <c r="A38" s="12"/>
      <c r="B38" s="12"/>
      <c r="C38" s="197"/>
      <c r="D38" s="12"/>
      <c r="E38" s="12"/>
      <c r="F38" s="12"/>
      <c r="G38" s="12"/>
      <c r="H38" s="64"/>
      <c r="I38" s="12"/>
      <c r="J38" s="12"/>
      <c r="K38" s="296"/>
      <c r="L38" s="296"/>
      <c r="M38" s="296"/>
      <c r="N38" s="296"/>
      <c r="O38" s="296"/>
      <c r="P38" s="296"/>
      <c r="Q38" s="296"/>
      <c r="R38" s="296"/>
      <c r="S38" s="296"/>
      <c r="T38" s="296"/>
      <c r="U38" s="296"/>
      <c r="V38" s="296"/>
      <c r="W38" s="296"/>
      <c r="X38" s="296"/>
      <c r="Y38" s="296"/>
      <c r="Z38" s="296"/>
      <c r="AA38" s="296"/>
      <c r="AB38" s="296"/>
    </row>
    <row r="39" spans="1:28" s="12" customFormat="1" ht="8.4" customHeight="1" x14ac:dyDescent="0.55000000000000004">
      <c r="C39" s="64"/>
      <c r="D39" s="64"/>
      <c r="E39" s="64"/>
      <c r="F39" s="64"/>
      <c r="G39" s="64"/>
      <c r="H39" s="64"/>
      <c r="I39" s="64"/>
      <c r="J39" s="64"/>
    </row>
    <row r="40" spans="1:28" s="12" customFormat="1" x14ac:dyDescent="0.55000000000000004">
      <c r="J40" s="191"/>
      <c r="K40" s="271" t="str">
        <f>B!AI52</f>
        <v/>
      </c>
      <c r="L40" s="191"/>
      <c r="M40" s="191"/>
      <c r="N40" s="272"/>
      <c r="O40" s="272"/>
      <c r="P40" s="272"/>
      <c r="Q40" s="273" t="str">
        <f>Q6</f>
        <v/>
      </c>
      <c r="R40" s="272"/>
      <c r="S40" s="191"/>
      <c r="T40" s="191"/>
      <c r="U40" s="274" t="str">
        <f>U6</f>
        <v/>
      </c>
      <c r="V40" s="275"/>
      <c r="W40" s="272"/>
      <c r="X40" s="112"/>
      <c r="Y40" s="276" t="str">
        <f>Y6</f>
        <v/>
      </c>
      <c r="AA40" s="191"/>
    </row>
    <row r="41" spans="1:28" s="12" customFormat="1" x14ac:dyDescent="0.55000000000000004">
      <c r="J41" s="191"/>
      <c r="K41" s="249" t="str">
        <f>B!AI54</f>
        <v/>
      </c>
      <c r="L41" s="277"/>
      <c r="M41" s="277"/>
      <c r="N41" s="277"/>
      <c r="O41" s="277"/>
      <c r="P41" s="277"/>
      <c r="Q41" s="278" t="str">
        <f>B!AJ54</f>
        <v/>
      </c>
      <c r="R41" s="278"/>
      <c r="S41" s="278"/>
      <c r="T41" s="278"/>
      <c r="U41" s="278" t="str">
        <f>B!AK54</f>
        <v/>
      </c>
      <c r="V41" s="278"/>
      <c r="W41" s="278"/>
      <c r="X41" s="278"/>
      <c r="Y41" s="278" t="str">
        <f>B!Z46</f>
        <v/>
      </c>
      <c r="Z41" s="278" t="str">
        <f>B!AD46</f>
        <v/>
      </c>
      <c r="AA41" s="191"/>
    </row>
    <row r="42" spans="1:28" s="12" customFormat="1" x14ac:dyDescent="0.55000000000000004">
      <c r="J42" s="191"/>
      <c r="K42" s="249" t="str">
        <f>B!AI55</f>
        <v/>
      </c>
      <c r="L42" s="277"/>
      <c r="M42" s="277"/>
      <c r="N42" s="277"/>
      <c r="O42" s="277"/>
      <c r="P42" s="277"/>
      <c r="Q42" s="278" t="str">
        <f>B!AJ55</f>
        <v/>
      </c>
      <c r="R42" s="278"/>
      <c r="S42" s="278"/>
      <c r="T42" s="278"/>
      <c r="U42" s="278" t="str">
        <f>B!AK55</f>
        <v/>
      </c>
      <c r="V42" s="278"/>
      <c r="W42" s="278"/>
      <c r="X42" s="278"/>
      <c r="Y42" s="278" t="str">
        <f>B!Z45</f>
        <v/>
      </c>
      <c r="Z42" s="278" t="str">
        <f>B!AD50</f>
        <v/>
      </c>
      <c r="AA42" s="191"/>
    </row>
    <row r="43" spans="1:28" s="12" customFormat="1" x14ac:dyDescent="0.55000000000000004">
      <c r="J43" s="191"/>
      <c r="K43" s="271" t="str">
        <f>B!AI53</f>
        <v/>
      </c>
      <c r="L43" s="277"/>
      <c r="M43" s="277"/>
      <c r="N43" s="277"/>
      <c r="O43" s="277"/>
      <c r="P43" s="277"/>
      <c r="Q43" s="278"/>
      <c r="R43" s="278"/>
      <c r="S43" s="278"/>
      <c r="T43" s="278"/>
      <c r="U43" s="278"/>
      <c r="V43" s="278"/>
      <c r="W43" s="278"/>
      <c r="X43" s="278"/>
      <c r="Y43" s="278"/>
      <c r="Z43" s="278"/>
      <c r="AA43" s="191"/>
    </row>
    <row r="44" spans="1:28" s="12" customFormat="1" x14ac:dyDescent="0.55000000000000004">
      <c r="J44" s="191"/>
      <c r="K44" s="249" t="str">
        <f>B!AI56</f>
        <v/>
      </c>
      <c r="L44" s="277"/>
      <c r="M44" s="277"/>
      <c r="N44" s="277"/>
      <c r="O44" s="277"/>
      <c r="P44" s="277"/>
      <c r="Q44" s="278" t="str">
        <f>B!AJ56</f>
        <v/>
      </c>
      <c r="R44" s="279"/>
      <c r="S44" s="279"/>
      <c r="T44" s="279"/>
      <c r="U44" s="278" t="str">
        <f>B!AK56</f>
        <v/>
      </c>
      <c r="V44" s="279"/>
      <c r="W44" s="279"/>
      <c r="X44" s="279"/>
      <c r="Y44" s="278" t="str">
        <f>B!Z48</f>
        <v/>
      </c>
      <c r="Z44" s="278" t="str">
        <f>B!AD48</f>
        <v/>
      </c>
      <c r="AA44" s="191"/>
    </row>
    <row r="45" spans="1:28" s="12" customFormat="1" x14ac:dyDescent="0.55000000000000004">
      <c r="J45" s="191"/>
      <c r="K45" s="249" t="str">
        <f>B!AI57</f>
        <v/>
      </c>
      <c r="L45" s="277"/>
      <c r="M45" s="277"/>
      <c r="N45" s="277"/>
      <c r="O45" s="277"/>
      <c r="P45" s="277"/>
      <c r="Q45" s="278" t="str">
        <f>B!AJ57</f>
        <v/>
      </c>
      <c r="R45" s="278"/>
      <c r="S45" s="278"/>
      <c r="T45" s="278"/>
      <c r="U45" s="278" t="str">
        <f>B!AK57</f>
        <v/>
      </c>
      <c r="V45" s="278"/>
      <c r="W45" s="278"/>
      <c r="X45" s="278"/>
      <c r="Y45" s="278" t="str">
        <f>B!Z47</f>
        <v/>
      </c>
      <c r="Z45" s="278" t="str">
        <f>B!AD47</f>
        <v/>
      </c>
      <c r="AA45" s="191"/>
    </row>
    <row r="46" spans="1:28" s="12" customFormat="1" ht="10.5" customHeight="1" x14ac:dyDescent="0.55000000000000004">
      <c r="J46" s="191"/>
      <c r="K46" s="191"/>
      <c r="L46" s="191"/>
      <c r="M46" s="191"/>
      <c r="N46" s="191"/>
      <c r="O46" s="191"/>
      <c r="P46" s="191"/>
      <c r="Q46" s="191"/>
      <c r="R46" s="191"/>
      <c r="S46" s="191"/>
      <c r="T46" s="191"/>
      <c r="U46" s="191"/>
      <c r="V46" s="191"/>
      <c r="W46" s="191"/>
      <c r="X46" s="191"/>
      <c r="Y46" s="191"/>
      <c r="Z46" s="191"/>
      <c r="AA46" s="191"/>
    </row>
    <row r="47" spans="1:28" s="12" customFormat="1" ht="12" customHeight="1" x14ac:dyDescent="0.55000000000000004">
      <c r="K47" s="271" t="s">
        <v>768</v>
      </c>
      <c r="L47" s="328"/>
      <c r="M47" s="328"/>
      <c r="N47" s="328"/>
      <c r="P47" s="329" t="s">
        <v>769</v>
      </c>
      <c r="Q47" s="639">
        <f ca="1">B!R17</f>
        <v>21.010958904109589</v>
      </c>
      <c r="R47" s="328"/>
      <c r="T47" s="329" t="s">
        <v>770</v>
      </c>
      <c r="U47" s="334">
        <f ca="1">B!R33</f>
        <v>0</v>
      </c>
      <c r="V47" s="328"/>
      <c r="W47" s="328" t="s">
        <v>771</v>
      </c>
      <c r="X47" s="873">
        <f ca="1">B!R37</f>
        <v>0</v>
      </c>
      <c r="Y47" s="873"/>
    </row>
    <row r="48" spans="1:28" s="12" customFormat="1" ht="15.6" x14ac:dyDescent="0.55000000000000004">
      <c r="D48" s="63"/>
      <c r="E48" s="64"/>
      <c r="F48" s="64"/>
      <c r="G48" s="64"/>
      <c r="H48" s="64"/>
      <c r="I48" s="64"/>
      <c r="J48" s="64"/>
    </row>
    <row r="49" spans="3:28" s="12" customFormat="1" ht="14.4" customHeight="1" x14ac:dyDescent="0.55000000000000004">
      <c r="D49" s="127"/>
      <c r="E49" s="127"/>
      <c r="F49" s="64"/>
      <c r="G49" s="64"/>
      <c r="H49" s="64"/>
      <c r="I49" s="64"/>
      <c r="J49" s="64"/>
      <c r="K49" s="291" t="s">
        <v>600</v>
      </c>
      <c r="L49" s="291"/>
      <c r="M49" s="292"/>
      <c r="N49" s="292"/>
      <c r="O49" s="292"/>
      <c r="P49" s="292"/>
      <c r="Q49" s="292"/>
      <c r="R49" s="292"/>
      <c r="S49" s="292"/>
      <c r="T49" s="292"/>
      <c r="U49" s="292"/>
      <c r="V49" s="292"/>
      <c r="W49" s="292"/>
      <c r="X49" s="292"/>
      <c r="Y49" s="292"/>
      <c r="Z49" s="292"/>
      <c r="AA49" s="292"/>
      <c r="AB49" s="292"/>
    </row>
    <row r="50" spans="3:28" s="12" customFormat="1" ht="22.2" customHeight="1" x14ac:dyDescent="0.55000000000000004">
      <c r="D50" s="127"/>
      <c r="E50" s="127"/>
      <c r="F50" s="64"/>
      <c r="G50" s="64"/>
      <c r="H50" s="64"/>
      <c r="I50" s="64"/>
      <c r="J50" s="64"/>
      <c r="K50" s="872" t="s">
        <v>721</v>
      </c>
      <c r="L50" s="872"/>
      <c r="M50" s="872"/>
      <c r="N50" s="872"/>
      <c r="O50" s="872"/>
      <c r="P50" s="872"/>
      <c r="Q50" s="872"/>
      <c r="R50" s="872"/>
      <c r="S50" s="872"/>
      <c r="T50" s="872"/>
      <c r="U50" s="872"/>
      <c r="V50" s="872"/>
      <c r="W50" s="872"/>
      <c r="X50" s="872"/>
      <c r="Y50" s="872"/>
      <c r="Z50" s="872"/>
      <c r="AA50" s="872"/>
      <c r="AB50" s="872"/>
    </row>
    <row r="51" spans="3:28" s="12" customFormat="1" ht="11.7" customHeight="1" x14ac:dyDescent="0.55000000000000004">
      <c r="D51" s="65"/>
      <c r="E51" s="64"/>
      <c r="F51" s="64"/>
      <c r="G51" s="64"/>
      <c r="H51" s="64"/>
      <c r="I51" s="64"/>
      <c r="J51" s="64"/>
      <c r="K51" s="872"/>
      <c r="L51" s="872"/>
      <c r="M51" s="872"/>
      <c r="N51" s="872"/>
      <c r="O51" s="872"/>
      <c r="P51" s="872"/>
      <c r="Q51" s="872"/>
      <c r="R51" s="872"/>
      <c r="S51" s="872"/>
      <c r="T51" s="872"/>
      <c r="U51" s="872"/>
      <c r="V51" s="872"/>
      <c r="W51" s="872"/>
      <c r="X51" s="872"/>
      <c r="Y51" s="872"/>
      <c r="Z51" s="872"/>
      <c r="AA51" s="872"/>
      <c r="AB51" s="872"/>
    </row>
    <row r="52" spans="3:28" s="12" customFormat="1" x14ac:dyDescent="0.55000000000000004">
      <c r="D52" s="65"/>
      <c r="E52" s="64"/>
      <c r="F52" s="64"/>
      <c r="G52" s="64"/>
      <c r="H52" s="64"/>
      <c r="I52" s="64"/>
      <c r="J52" s="64"/>
    </row>
    <row r="53" spans="3:28" s="12" customFormat="1" ht="14.4" customHeight="1" x14ac:dyDescent="0.6">
      <c r="C53" s="323" t="s">
        <v>683</v>
      </c>
      <c r="D53" s="100"/>
      <c r="E53" s="293"/>
      <c r="H53" s="297" t="s">
        <v>685</v>
      </c>
      <c r="I53" s="64"/>
      <c r="J53" s="64"/>
    </row>
    <row r="54" spans="3:28" s="12" customFormat="1" ht="14.1" customHeight="1" x14ac:dyDescent="0.55000000000000004">
      <c r="C54" s="290"/>
      <c r="D54" s="6"/>
      <c r="E54" s="294"/>
      <c r="G54" s="295"/>
      <c r="H54" s="6"/>
      <c r="I54" s="6"/>
      <c r="J54" s="6"/>
    </row>
    <row r="55" spans="3:28" s="12" customFormat="1" ht="14.4" customHeight="1" x14ac:dyDescent="0.55000000000000004">
      <c r="H55" s="6"/>
      <c r="I55" s="6"/>
      <c r="J55" s="6"/>
    </row>
    <row r="56" spans="3:28" s="12" customFormat="1" x14ac:dyDescent="0.55000000000000004">
      <c r="F56" s="64"/>
      <c r="G56" s="64"/>
      <c r="H56" s="64"/>
      <c r="I56" s="64"/>
      <c r="J56" s="64"/>
    </row>
    <row r="57" spans="3:28" s="12" customFormat="1" ht="6.3" customHeight="1" x14ac:dyDescent="0.55000000000000004">
      <c r="D57" s="113"/>
      <c r="E57" s="66"/>
      <c r="F57" s="66"/>
      <c r="G57" s="113"/>
      <c r="H57" s="66"/>
      <c r="I57" s="66"/>
      <c r="J57" s="66"/>
    </row>
    <row r="58" spans="3:28" s="12" customFormat="1" ht="14.4" customHeight="1" x14ac:dyDescent="0.55000000000000004">
      <c r="D58" s="127"/>
      <c r="E58" s="127"/>
      <c r="F58" s="128"/>
      <c r="G58" s="127"/>
      <c r="H58" s="127"/>
      <c r="I58" s="127"/>
      <c r="J58" s="127"/>
    </row>
    <row r="59" spans="3:28" s="12" customFormat="1" ht="4.5" customHeight="1" x14ac:dyDescent="0.5500000000000000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3:28" s="12" customFormat="1" x14ac:dyDescent="0.55000000000000004">
      <c r="D60" s="65"/>
      <c r="E60" s="64"/>
      <c r="F60" s="65"/>
      <c r="G60" s="64"/>
      <c r="H60" s="64"/>
      <c r="I60" s="64"/>
      <c r="J60" s="64"/>
      <c r="K60" s="64"/>
      <c r="L60" s="64"/>
      <c r="M60" s="64"/>
      <c r="N60" s="64"/>
      <c r="O60" s="64"/>
      <c r="P60" s="64"/>
      <c r="Q60" s="64"/>
      <c r="R60" s="64"/>
      <c r="S60" s="64"/>
      <c r="T60" s="64"/>
      <c r="U60" s="64"/>
      <c r="V60" s="64"/>
      <c r="W60" s="64"/>
      <c r="X60" s="64"/>
      <c r="Y60" s="64"/>
      <c r="Z60" s="64"/>
      <c r="AA60" s="64"/>
    </row>
    <row r="61" spans="3:28" s="12" customFormat="1" ht="14.4" customHeight="1" x14ac:dyDescent="0.55000000000000004">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row>
    <row r="62" spans="3:28" s="12" customFormat="1" x14ac:dyDescent="0.55000000000000004">
      <c r="D62" s="171"/>
      <c r="F62" s="127"/>
      <c r="G62" s="127"/>
      <c r="H62" s="127"/>
      <c r="I62" s="127"/>
      <c r="J62" s="127"/>
      <c r="K62" s="127"/>
      <c r="L62" s="127"/>
      <c r="M62" s="127"/>
      <c r="N62" s="127"/>
      <c r="O62" s="127"/>
      <c r="P62" s="127"/>
      <c r="Q62" s="127"/>
      <c r="R62" s="127"/>
      <c r="S62" s="127"/>
      <c r="T62" s="127"/>
      <c r="U62" s="127"/>
      <c r="V62" s="127"/>
      <c r="W62" s="127"/>
      <c r="X62" s="127"/>
      <c r="Y62" s="127"/>
      <c r="Z62" s="127"/>
      <c r="AA62" s="127"/>
    </row>
    <row r="63" spans="3:28" s="12" customFormat="1" x14ac:dyDescent="0.55000000000000004">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3:28" s="12" customFormat="1" x14ac:dyDescent="0.55000000000000004">
      <c r="C64" s="60"/>
      <c r="D64" s="60"/>
      <c r="E64" s="60"/>
      <c r="X64" s="60"/>
      <c r="Y64" s="60"/>
      <c r="Z64" s="60"/>
    </row>
    <row r="65" spans="3:26" s="12" customFormat="1" ht="14.4" customHeight="1" x14ac:dyDescent="0.55000000000000004">
      <c r="C65" s="60"/>
      <c r="D65" s="60"/>
      <c r="E65" s="60"/>
      <c r="X65" s="60"/>
      <c r="Y65" s="60"/>
      <c r="Z65" s="60"/>
    </row>
    <row r="66" spans="3:26" s="12" customFormat="1" x14ac:dyDescent="0.55000000000000004">
      <c r="C66" s="60"/>
      <c r="D66" s="60"/>
      <c r="E66" s="60"/>
      <c r="X66" s="60"/>
      <c r="Y66" s="60"/>
      <c r="Z66" s="60"/>
    </row>
    <row r="67" spans="3:26" s="12" customFormat="1" x14ac:dyDescent="0.55000000000000004">
      <c r="U67" s="60"/>
      <c r="V67" s="60"/>
      <c r="W67" s="60"/>
      <c r="X67" s="60"/>
      <c r="Y67" s="60"/>
      <c r="Z67" s="60"/>
    </row>
    <row r="68" spans="3:26" s="12" customFormat="1" x14ac:dyDescent="0.55000000000000004">
      <c r="X68" s="60"/>
      <c r="Y68" s="60"/>
      <c r="Z68" s="60"/>
    </row>
    <row r="69" spans="3:26" s="12" customFormat="1" x14ac:dyDescent="0.55000000000000004">
      <c r="X69" s="60"/>
      <c r="Y69" s="60"/>
      <c r="Z69" s="60"/>
    </row>
    <row r="70" spans="3:26" s="12" customFormat="1" ht="22.8" customHeight="1" x14ac:dyDescent="0.55000000000000004">
      <c r="C70" s="60"/>
      <c r="D70" s="60"/>
      <c r="E70" s="60"/>
      <c r="X70" s="60"/>
      <c r="Y70" s="60"/>
      <c r="Z70" s="60"/>
    </row>
    <row r="71" spans="3:26" s="12" customFormat="1" x14ac:dyDescent="0.55000000000000004">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3:26" s="12" customFormat="1" x14ac:dyDescent="0.55000000000000004">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3:26" s="12" customFormat="1" x14ac:dyDescent="0.55000000000000004">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3:26" s="12" customFormat="1" x14ac:dyDescent="0.55000000000000004">
      <c r="C74" s="59"/>
      <c r="D74" s="59"/>
    </row>
    <row r="75" spans="3:26" s="12" customFormat="1" x14ac:dyDescent="0.55000000000000004">
      <c r="C75" s="867"/>
      <c r="D75" s="867"/>
      <c r="E75" s="868"/>
      <c r="F75" s="868"/>
      <c r="G75" s="868"/>
      <c r="H75" s="868"/>
      <c r="I75" s="868"/>
      <c r="J75" s="868"/>
      <c r="K75" s="868"/>
      <c r="L75" s="868"/>
      <c r="M75" s="868"/>
      <c r="N75" s="868"/>
      <c r="O75" s="868"/>
      <c r="P75" s="868"/>
      <c r="Q75" s="868"/>
      <c r="R75" s="868"/>
      <c r="S75" s="868"/>
      <c r="T75" s="868"/>
      <c r="U75" s="868"/>
      <c r="V75" s="868"/>
      <c r="W75" s="868"/>
      <c r="X75" s="868"/>
      <c r="Y75" s="868"/>
      <c r="Z75" s="868"/>
    </row>
    <row r="76" spans="3:26" s="12" customFormat="1" x14ac:dyDescent="0.55000000000000004">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row>
    <row r="77" spans="3:26" s="12" customFormat="1" x14ac:dyDescent="0.55000000000000004"/>
    <row r="78" spans="3:26" s="12" customFormat="1" ht="18.3" x14ac:dyDescent="0.55000000000000004">
      <c r="C78" s="58"/>
      <c r="D78" s="58"/>
    </row>
    <row r="79" spans="3:26" x14ac:dyDescent="0.55000000000000004">
      <c r="C79" s="865"/>
      <c r="D79" s="865"/>
      <c r="E79" s="866"/>
      <c r="F79" s="866"/>
      <c r="G79" s="866"/>
      <c r="H79" s="866"/>
      <c r="I79" s="866"/>
      <c r="J79" s="866"/>
      <c r="K79" s="866"/>
      <c r="L79" s="866"/>
      <c r="M79" s="866"/>
      <c r="N79" s="866"/>
      <c r="O79" s="866"/>
      <c r="P79" s="866"/>
      <c r="Q79" s="866"/>
      <c r="R79" s="866"/>
      <c r="S79" s="866"/>
      <c r="T79" s="866"/>
      <c r="U79" s="866"/>
      <c r="V79" s="866"/>
      <c r="W79" s="866"/>
      <c r="X79" s="866"/>
      <c r="Y79" s="866"/>
      <c r="Z79" s="866"/>
    </row>
    <row r="80" spans="3:26" x14ac:dyDescent="0.55000000000000004">
      <c r="C80" s="866"/>
      <c r="D80" s="866"/>
      <c r="E80" s="866"/>
      <c r="F80" s="866"/>
      <c r="G80" s="866"/>
      <c r="H80" s="866"/>
      <c r="I80" s="866"/>
      <c r="J80" s="866"/>
      <c r="K80" s="866"/>
      <c r="L80" s="866"/>
      <c r="M80" s="866"/>
      <c r="N80" s="866"/>
      <c r="O80" s="866"/>
      <c r="P80" s="866"/>
      <c r="Q80" s="866"/>
      <c r="R80" s="866"/>
      <c r="S80" s="866"/>
      <c r="T80" s="866"/>
      <c r="U80" s="866"/>
      <c r="V80" s="866"/>
      <c r="W80" s="866"/>
      <c r="X80" s="866"/>
      <c r="Y80" s="866"/>
      <c r="Z80" s="866"/>
    </row>
  </sheetData>
  <sheetProtection selectLockedCells="1"/>
  <mergeCells count="13">
    <mergeCell ref="K3:L4"/>
    <mergeCell ref="Y3:AB4"/>
    <mergeCell ref="C79:Z80"/>
    <mergeCell ref="C75:Z76"/>
    <mergeCell ref="E16:I16"/>
    <mergeCell ref="F20:I20"/>
    <mergeCell ref="G3:J4"/>
    <mergeCell ref="K50:AB51"/>
    <mergeCell ref="F21:I21"/>
    <mergeCell ref="F22:I22"/>
    <mergeCell ref="X47:Y47"/>
    <mergeCell ref="G5:I5"/>
    <mergeCell ref="E17:I17"/>
  </mergeCells>
  <conditionalFormatting sqref="K40:P40 R40:W40 K40:K45 K47:N47 P47:R47 T47:X47">
    <cfRule type="containsText" dxfId="60" priority="33" operator="containsText" text="Voer de kans van slagen">
      <formula>NOT(ISERROR(SEARCH("Voer de kans van slagen",K40)))</formula>
    </cfRule>
  </conditionalFormatting>
  <conditionalFormatting sqref="Q40">
    <cfRule type="containsText" dxfId="59" priority="32" operator="containsText" text="Voer de kans van slagen">
      <formula>NOT(ISERROR(SEARCH("Voer de kans van slagen",Q40)))</formula>
    </cfRule>
  </conditionalFormatting>
  <conditionalFormatting sqref="Z10">
    <cfRule type="expression" dxfId="58" priority="15">
      <formula>$Y$6="Einde tijdelijk contract"</formula>
    </cfRule>
  </conditionalFormatting>
  <conditionalFormatting sqref="Y10">
    <cfRule type="expression" dxfId="57" priority="14">
      <formula>$Y$6="Ontslag op staande voet"</formula>
    </cfRule>
  </conditionalFormatting>
  <conditionalFormatting sqref="C19:I22">
    <cfRule type="expression" dxfId="56" priority="11">
      <formula>NOT($U$6="Ontbinding kantonrechter")</formula>
    </cfRule>
  </conditionalFormatting>
  <conditionalFormatting sqref="C27:F27 I27">
    <cfRule type="expression" dxfId="55" priority="10">
      <formula>$E$12=0</formula>
    </cfRule>
  </conditionalFormatting>
  <conditionalFormatting sqref="K33:AB33 D29:AB29 I31:AB32 H30:AB30 I31:I33 H35:H36 I34:AB36 C30:F36">
    <cfRule type="expression" dxfId="54" priority="479">
      <formula>$J$27=0</formula>
    </cfRule>
  </conditionalFormatting>
  <conditionalFormatting sqref="H31:H32">
    <cfRule type="expression" dxfId="53" priority="5">
      <formula>$J$27=0</formula>
    </cfRule>
  </conditionalFormatting>
  <conditionalFormatting sqref="K47:Y47">
    <cfRule type="expression" dxfId="52" priority="2">
      <formula>$E$12=0</formula>
    </cfRule>
  </conditionalFormatting>
  <conditionalFormatting sqref="E17:I17">
    <cfRule type="expression" dxfId="51" priority="1">
      <formula>NOT($E$16="Einde tijdelijk dienstverband")</formula>
    </cfRule>
  </conditionalFormatting>
  <dataValidations count="16">
    <dataValidation type="date" allowBlank="1" showInputMessage="1" showErrorMessage="1" sqref="Y10:Z11 E10" xr:uid="{17C2F625-45E9-45FF-802B-F8040E83CFFC}">
      <formula1>36526</formula1>
      <formula2>51136</formula2>
    </dataValidation>
    <dataValidation type="decimal" allowBlank="1" showInputMessage="1" showErrorMessage="1" sqref="E12:E13 I31:I33" xr:uid="{E3C0FB12-339B-4B1A-BFD3-EDDDE50B501C}">
      <formula1>0</formula1>
      <formula2>30000</formula2>
    </dataValidation>
    <dataValidation type="decimal" allowBlank="1" showInputMessage="1" showErrorMessage="1" sqref="Z31" xr:uid="{17F9E9F8-D460-44B9-AD16-FF2D9B283ABB}">
      <formula1>0</formula1>
      <formula2>20</formula2>
    </dataValidation>
    <dataValidation type="decimal" allowBlank="1" showInputMessage="1" showErrorMessage="1" sqref="P31" xr:uid="{79CA75FF-7526-446C-89E2-3820D6933AE4}">
      <formula1>0</formula1>
      <formula2>1500</formula2>
    </dataValidation>
    <dataValidation type="decimal" allowBlank="1" showInputMessage="1" showErrorMessage="1" sqref="P32" xr:uid="{63C9FFA5-3EBE-48B1-B360-C390006C9E66}">
      <formula1>0</formula1>
      <formula2>45</formula2>
    </dataValidation>
    <dataValidation type="decimal" allowBlank="1" showInputMessage="1" showErrorMessage="1" sqref="P33" xr:uid="{DF4D05EB-C0FA-4898-9E96-2EF3CAADE3E4}">
      <formula1>18</formula1>
      <formula2>40</formula2>
    </dataValidation>
    <dataValidation type="decimal" allowBlank="1" showInputMessage="1" showErrorMessage="1" sqref="P36" xr:uid="{4E71736F-982F-46FF-8164-40E9A7BA3BE3}">
      <formula1>0</formula1>
      <formula2>20000</formula2>
    </dataValidation>
    <dataValidation type="list" allowBlank="1" showInputMessage="1" showErrorMessage="1" sqref="I27" xr:uid="{AF78837E-2453-4FB6-96FB-1E62A1E0629A}">
      <formula1>"Keuze,Ja,Nee"</formula1>
    </dataValidation>
    <dataValidation type="decimal" allowBlank="1" showInputMessage="1" showErrorMessage="1" sqref="Z33" xr:uid="{BDBE8EC1-BDD0-4EC8-9992-3C204ED27903}">
      <formula1>0</formula1>
      <formula2>50</formula2>
    </dataValidation>
    <dataValidation type="decimal" allowBlank="1" showInputMessage="1" showErrorMessage="1" sqref="Z35" xr:uid="{3AA427EA-6EB6-443E-A493-F1E6A64A6AC8}">
      <formula1>0</formula1>
      <formula2>40000</formula2>
    </dataValidation>
    <dataValidation type="list" allowBlank="1" showInputMessage="1" showErrorMessage="1" sqref="Z32" xr:uid="{0EDA4BF6-1739-4762-A3D5-BDD0B424F4B5}">
      <formula1>"Nee,1,2,3,4"</formula1>
    </dataValidation>
    <dataValidation type="decimal" allowBlank="1" showInputMessage="1" showErrorMessage="1" sqref="Z36" xr:uid="{B79C16F4-6584-43F4-BBC6-FD2EA30ACDA3}">
      <formula1>1</formula1>
      <formula2>2</formula2>
    </dataValidation>
    <dataValidation type="list" allowBlank="1" showInputMessage="1" showErrorMessage="1" sqref="F20:I22" xr:uid="{7D090FAD-D3CD-4A0F-9A77-6D9548EB9CC1}">
      <formula1>"n.v.t.,kansloos (0-20%),kleine kans (30-40%),twijfelachtige kans (50-60%),voldoende kans (70%),goede kans (80%),vrijwel niet te missen (90-100%),vul de kans in"</formula1>
    </dataValidation>
    <dataValidation type="decimal" allowBlank="1" showInputMessage="1" showErrorMessage="1" sqref="I34:I36" xr:uid="{F2453ECA-C602-42A7-A4DC-87AF60722FFC}">
      <formula1>0</formula1>
      <formula2>500000</formula2>
    </dataValidation>
    <dataValidation type="list" allowBlank="1" showInputMessage="1" showErrorMessage="1" sqref="E16:I16" xr:uid="{FDAA3A3D-238F-4ADC-A0FD-F68802A9E4E0}">
      <formula1>"Kies de reden voor ontslag,Bedrijfseconomisch (UWV-ontslag),Langdurige ziekte (UWV-ontslag),Einde tijdelijk dienstverband,Ontslag op staande voet (kantonrechter),Andere ontslaggrond (kantonrechter)"</formula1>
    </dataValidation>
    <dataValidation type="list" allowBlank="1" showInputMessage="1" showErrorMessage="1" sqref="E17:I17" xr:uid="{A966C271-5F7D-4B25-9AFE-9BC5A73C69B7}">
      <formula1>"Kies de reden om eerder te stoppen,Bedrijfseconomisch (UWV-ontslag),Andere reden (kantonrechter)"</formula1>
    </dataValidation>
  </dataValidations>
  <hyperlinks>
    <hyperlink ref="C62:E62" r:id="rId1" display="  Arbeidsrechtkantoor AN-i" xr:uid="{FFEFF8A7-5A3D-4F05-AE20-3159846E7703}"/>
    <hyperlink ref="K3:L4" r:id="rId2" location="0" display="Informatie" xr:uid="{50292123-5A63-475F-9EC7-02A4F84902C4}"/>
    <hyperlink ref="Z30" r:id="rId3" location="V" xr:uid="{F52D9A7F-45DB-4D1D-BA32-231DB1E4F0AC}"/>
    <hyperlink ref="P30" r:id="rId4" location="O5" xr:uid="{42B3FEEC-EF1A-409C-9D0D-0DE843C4343E}"/>
    <hyperlink ref="I30" r:id="rId5" location="5" display="Uitleg" xr:uid="{7F16814F-A87E-4B5C-B248-84ACA01A9522}"/>
    <hyperlink ref="G5" r:id="rId6" display="https://www.an-i.nl/toolbox-ontslagregeling-onderhandelen-over-de-vaststellingsovereenkomst/" xr:uid="{C3D5C5BB-7018-47A5-8694-89DBCAD1F945}"/>
  </hyperlinks>
  <pageMargins left="0.7" right="0.7" top="0.75" bottom="0.75" header="0.3" footer="0.3"/>
  <pageSetup paperSize="9" scale="65" fitToHeight="0" orientation="landscape" horizontalDpi="4294967293" verticalDpi="0" r:id="rId7"/>
  <ignoredErrors>
    <ignoredError sqref="G5 E10 Y10" unlockedFormula="1"/>
    <ignoredError xmlns:x16r3="http://schemas.microsoft.com/office/spreadsheetml/2018/08/main" sqref="U10 Q10 L12" x16r3:misleadingFormat="1"/>
  </ignoredErrors>
  <drawing r:id="rId8"/>
  <extLst>
    <ext xmlns:x14="http://schemas.microsoft.com/office/spreadsheetml/2009/9/main" uri="{CCE6A557-97BC-4b89-ADB6-D9C93CAAB3DF}">
      <x14:dataValidations xmlns:xm="http://schemas.microsoft.com/office/excel/2006/main" count="1">
        <x14:dataValidation type="date" allowBlank="1" showInputMessage="1" showErrorMessage="1" xr:uid="{EAC1751A-B077-4F9A-BBC6-CD58DAED694E}">
          <x14:formula1>
            <xm:f>10959</xm:f>
          </x14:formula1>
          <x14:formula2>
            <xm:f>B!T11</xm:f>
          </x14:formula2>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B0D8-F27A-4CE7-9575-9D2704755369}">
  <sheetPr codeName="Blad4"/>
  <dimension ref="A1:T157"/>
  <sheetViews>
    <sheetView workbookViewId="0">
      <selection activeCell="F108" sqref="F108:T116"/>
    </sheetView>
  </sheetViews>
  <sheetFormatPr defaultRowHeight="14.4" x14ac:dyDescent="0.55000000000000004"/>
  <cols>
    <col min="1" max="8" width="8.83984375" style="338"/>
    <col min="9" max="9" width="3.20703125" style="338" customWidth="1"/>
    <col min="10" max="10" width="3.9453125" style="338" customWidth="1"/>
    <col min="11" max="13" width="8.83984375" style="338"/>
    <col min="14" max="14" width="4.47265625" style="338" customWidth="1"/>
    <col min="15" max="15" width="4.7890625" style="338" customWidth="1"/>
    <col min="16" max="18" width="8.83984375" style="338"/>
    <col min="19" max="20" width="5.41796875" style="338" customWidth="1"/>
    <col min="21" max="16384" width="8.83984375" style="338"/>
  </cols>
  <sheetData>
    <row r="1" spans="1:16" x14ac:dyDescent="0.55000000000000004">
      <c r="A1" s="335"/>
    </row>
    <row r="2" spans="1:16" ht="25.8" x14ac:dyDescent="0.95">
      <c r="H2" s="339" t="s">
        <v>617</v>
      </c>
    </row>
    <row r="8" spans="1:16" ht="23.1" x14ac:dyDescent="0.85">
      <c r="F8" s="340" t="s">
        <v>616</v>
      </c>
      <c r="P8" s="341" t="s">
        <v>644</v>
      </c>
    </row>
    <row r="24" spans="2:20" ht="20.399999999999999" x14ac:dyDescent="0.75">
      <c r="F24" s="342" t="s">
        <v>645</v>
      </c>
      <c r="P24" s="342" t="s">
        <v>646</v>
      </c>
    </row>
    <row r="25" spans="2:20" ht="6.6" customHeight="1" x14ac:dyDescent="0.55000000000000004"/>
    <row r="26" spans="2:20" ht="14.4" customHeight="1" x14ac:dyDescent="0.55000000000000004">
      <c r="F26" s="878" t="s">
        <v>647</v>
      </c>
      <c r="G26" s="878"/>
      <c r="H26" s="878"/>
      <c r="I26" s="878"/>
      <c r="J26" s="878"/>
      <c r="K26" s="878"/>
      <c r="L26" s="878"/>
      <c r="M26" s="343"/>
      <c r="N26" s="343"/>
      <c r="P26" s="344" t="s">
        <v>649</v>
      </c>
      <c r="Q26" s="344"/>
      <c r="R26" s="345"/>
    </row>
    <row r="27" spans="2:20" x14ac:dyDescent="0.55000000000000004">
      <c r="B27" s="346"/>
      <c r="F27" s="878"/>
      <c r="G27" s="878"/>
      <c r="H27" s="878"/>
      <c r="I27" s="878"/>
      <c r="J27" s="878"/>
      <c r="K27" s="878"/>
      <c r="L27" s="878"/>
      <c r="M27" s="343"/>
      <c r="N27" s="343"/>
      <c r="P27" s="344" t="s">
        <v>650</v>
      </c>
      <c r="Q27" s="344"/>
      <c r="R27" s="345"/>
      <c r="T27" s="346"/>
    </row>
    <row r="28" spans="2:20" x14ac:dyDescent="0.55000000000000004">
      <c r="F28" s="344"/>
      <c r="G28" s="344"/>
      <c r="H28" s="344"/>
      <c r="I28" s="344"/>
      <c r="J28" s="344"/>
      <c r="K28" s="344"/>
      <c r="L28" s="344"/>
      <c r="M28" s="343"/>
      <c r="N28" s="343"/>
      <c r="P28" s="344" t="s">
        <v>651</v>
      </c>
      <c r="Q28" s="344"/>
      <c r="R28" s="345"/>
    </row>
    <row r="29" spans="2:20" x14ac:dyDescent="0.55000000000000004">
      <c r="F29" s="347" t="s">
        <v>648</v>
      </c>
      <c r="G29" s="348"/>
      <c r="H29" s="348"/>
      <c r="I29" s="348"/>
      <c r="J29" s="348"/>
      <c r="K29" s="348"/>
      <c r="L29" s="348"/>
      <c r="M29" s="343"/>
      <c r="N29" s="343"/>
      <c r="P29" s="344" t="s">
        <v>652</v>
      </c>
      <c r="Q29" s="344"/>
      <c r="R29" s="345"/>
    </row>
    <row r="30" spans="2:20" x14ac:dyDescent="0.55000000000000004">
      <c r="F30" s="344" t="s">
        <v>657</v>
      </c>
      <c r="G30" s="344"/>
      <c r="H30" s="344"/>
      <c r="I30" s="348"/>
      <c r="J30" s="348"/>
      <c r="K30" s="348"/>
      <c r="L30" s="348"/>
      <c r="M30" s="343"/>
      <c r="N30" s="343"/>
      <c r="P30" s="344" t="s">
        <v>653</v>
      </c>
      <c r="Q30" s="344"/>
      <c r="R30" s="345"/>
    </row>
    <row r="31" spans="2:20" x14ac:dyDescent="0.55000000000000004">
      <c r="F31" s="344" t="s">
        <v>658</v>
      </c>
      <c r="G31" s="344"/>
      <c r="H31" s="344"/>
      <c r="I31" s="348"/>
      <c r="J31" s="348"/>
      <c r="K31" s="348"/>
      <c r="L31" s="348"/>
      <c r="M31" s="343"/>
      <c r="N31" s="343"/>
      <c r="P31" s="344" t="s">
        <v>654</v>
      </c>
      <c r="Q31" s="344"/>
      <c r="R31" s="345"/>
    </row>
    <row r="32" spans="2:20" x14ac:dyDescent="0.55000000000000004">
      <c r="F32" s="344" t="s">
        <v>659</v>
      </c>
      <c r="G32" s="344"/>
      <c r="H32" s="344"/>
      <c r="I32" s="348"/>
      <c r="J32" s="348"/>
      <c r="K32" s="348"/>
      <c r="L32" s="348"/>
      <c r="M32" s="343"/>
      <c r="N32" s="343"/>
      <c r="P32" s="344" t="s">
        <v>655</v>
      </c>
      <c r="Q32" s="344"/>
      <c r="R32" s="345"/>
    </row>
    <row r="33" spans="6:20" x14ac:dyDescent="0.55000000000000004">
      <c r="F33" s="344" t="s">
        <v>660</v>
      </c>
      <c r="G33" s="344"/>
      <c r="H33" s="344"/>
      <c r="I33" s="348"/>
      <c r="J33" s="348"/>
      <c r="K33" s="348"/>
      <c r="L33" s="348"/>
      <c r="M33" s="343"/>
      <c r="N33" s="343"/>
      <c r="P33" s="344" t="s">
        <v>656</v>
      </c>
      <c r="Q33" s="344"/>
      <c r="R33" s="345"/>
    </row>
    <row r="34" spans="6:20" x14ac:dyDescent="0.55000000000000004">
      <c r="F34" s="343"/>
      <c r="G34" s="343"/>
      <c r="H34" s="343"/>
      <c r="I34" s="343"/>
      <c r="J34" s="343"/>
      <c r="K34" s="343"/>
      <c r="L34" s="343"/>
      <c r="M34" s="343"/>
      <c r="N34" s="343"/>
      <c r="O34" s="343"/>
      <c r="P34" s="343"/>
      <c r="Q34" s="343"/>
    </row>
    <row r="37" spans="6:20" ht="29.7" x14ac:dyDescent="0.95">
      <c r="F37" s="349" t="s">
        <v>661</v>
      </c>
    </row>
    <row r="39" spans="6:20" x14ac:dyDescent="0.55000000000000004">
      <c r="F39" s="347" t="s">
        <v>662</v>
      </c>
      <c r="K39" s="347" t="s">
        <v>665</v>
      </c>
      <c r="P39" s="347" t="s">
        <v>664</v>
      </c>
    </row>
    <row r="40" spans="6:20" ht="4.5" customHeight="1" x14ac:dyDescent="0.55000000000000004"/>
    <row r="41" spans="6:20" ht="14.4" customHeight="1" x14ac:dyDescent="0.55000000000000004">
      <c r="F41" s="876" t="s">
        <v>663</v>
      </c>
      <c r="G41" s="876"/>
      <c r="H41" s="876"/>
      <c r="I41" s="876"/>
      <c r="J41" s="350"/>
      <c r="K41" s="876" t="s">
        <v>707</v>
      </c>
      <c r="L41" s="876"/>
      <c r="M41" s="876"/>
      <c r="N41" s="876"/>
      <c r="P41" s="876" t="s">
        <v>726</v>
      </c>
      <c r="Q41" s="876"/>
      <c r="R41" s="876"/>
      <c r="S41" s="876"/>
      <c r="T41" s="876"/>
    </row>
    <row r="42" spans="6:20" x14ac:dyDescent="0.55000000000000004">
      <c r="F42" s="876"/>
      <c r="G42" s="876"/>
      <c r="H42" s="876"/>
      <c r="I42" s="876"/>
      <c r="J42" s="350"/>
      <c r="K42" s="876"/>
      <c r="L42" s="876"/>
      <c r="M42" s="876"/>
      <c r="N42" s="876"/>
      <c r="P42" s="876"/>
      <c r="Q42" s="876"/>
      <c r="R42" s="876"/>
      <c r="S42" s="876"/>
      <c r="T42" s="876"/>
    </row>
    <row r="43" spans="6:20" x14ac:dyDescent="0.55000000000000004">
      <c r="F43" s="876"/>
      <c r="G43" s="876"/>
      <c r="H43" s="876"/>
      <c r="I43" s="876"/>
      <c r="J43" s="350"/>
      <c r="K43" s="876"/>
      <c r="L43" s="876"/>
      <c r="M43" s="876"/>
      <c r="N43" s="876"/>
      <c r="P43" s="876"/>
      <c r="Q43" s="876"/>
      <c r="R43" s="876"/>
      <c r="S43" s="876"/>
      <c r="T43" s="876"/>
    </row>
    <row r="44" spans="6:20" x14ac:dyDescent="0.55000000000000004">
      <c r="F44" s="876"/>
      <c r="G44" s="876"/>
      <c r="H44" s="876"/>
      <c r="I44" s="876"/>
      <c r="J44" s="350"/>
      <c r="K44" s="876"/>
      <c r="L44" s="876"/>
      <c r="M44" s="876"/>
      <c r="N44" s="876"/>
      <c r="P44" s="876"/>
      <c r="Q44" s="876"/>
      <c r="R44" s="876"/>
      <c r="S44" s="876"/>
      <c r="T44" s="876"/>
    </row>
    <row r="45" spans="6:20" x14ac:dyDescent="0.55000000000000004">
      <c r="F45" s="876"/>
      <c r="G45" s="876"/>
      <c r="H45" s="876"/>
      <c r="I45" s="876"/>
      <c r="K45" s="876"/>
      <c r="L45" s="876"/>
      <c r="M45" s="876"/>
      <c r="N45" s="876"/>
      <c r="P45" s="876"/>
      <c r="Q45" s="876"/>
      <c r="R45" s="876"/>
      <c r="S45" s="876"/>
      <c r="T45" s="876"/>
    </row>
    <row r="47" spans="6:20" ht="19.8" x14ac:dyDescent="0.65">
      <c r="K47" s="351" t="s">
        <v>666</v>
      </c>
    </row>
    <row r="48" spans="6:20" ht="6.6" customHeight="1" x14ac:dyDescent="0.55000000000000004"/>
    <row r="49" spans="6:20" x14ac:dyDescent="0.55000000000000004">
      <c r="K49" s="338" t="s">
        <v>736</v>
      </c>
    </row>
    <row r="50" spans="6:20" ht="9" customHeight="1" x14ac:dyDescent="0.55000000000000004"/>
    <row r="51" spans="6:20" x14ac:dyDescent="0.55000000000000004">
      <c r="K51" s="347" t="s">
        <v>727</v>
      </c>
      <c r="P51" s="347" t="s">
        <v>728</v>
      </c>
    </row>
    <row r="52" spans="6:20" ht="4.2" customHeight="1" x14ac:dyDescent="0.55000000000000004"/>
    <row r="53" spans="6:20" ht="14.4" customHeight="1" x14ac:dyDescent="0.55000000000000004">
      <c r="K53" s="352" t="s">
        <v>729</v>
      </c>
      <c r="L53" s="350"/>
      <c r="M53" s="350"/>
      <c r="N53" s="350"/>
      <c r="P53" s="352" t="s">
        <v>731</v>
      </c>
      <c r="Q53" s="352"/>
      <c r="R53" s="352"/>
      <c r="S53" s="352"/>
      <c r="T53" s="352"/>
    </row>
    <row r="54" spans="6:20" ht="14.4" customHeight="1" x14ac:dyDescent="0.55000000000000004">
      <c r="K54" s="352" t="s">
        <v>667</v>
      </c>
      <c r="L54" s="350"/>
      <c r="M54" s="350"/>
      <c r="N54" s="350"/>
      <c r="P54" s="352" t="s">
        <v>732</v>
      </c>
      <c r="Q54" s="352"/>
      <c r="R54" s="352"/>
      <c r="S54" s="352"/>
      <c r="T54" s="352"/>
    </row>
    <row r="55" spans="6:20" x14ac:dyDescent="0.55000000000000004">
      <c r="K55" s="352" t="s">
        <v>668</v>
      </c>
      <c r="L55" s="350"/>
      <c r="M55" s="350"/>
      <c r="N55" s="350"/>
      <c r="P55" s="352" t="s">
        <v>733</v>
      </c>
      <c r="Q55" s="352"/>
      <c r="R55" s="352"/>
      <c r="S55" s="352"/>
      <c r="T55" s="352"/>
    </row>
    <row r="56" spans="6:20" x14ac:dyDescent="0.55000000000000004">
      <c r="K56" s="352" t="s">
        <v>669</v>
      </c>
      <c r="L56" s="350"/>
      <c r="M56" s="350"/>
      <c r="N56" s="350"/>
      <c r="P56" s="352" t="s">
        <v>734</v>
      </c>
      <c r="Q56" s="352"/>
      <c r="R56" s="352"/>
      <c r="S56" s="352"/>
      <c r="T56" s="352"/>
    </row>
    <row r="57" spans="6:20" x14ac:dyDescent="0.55000000000000004">
      <c r="K57" s="352" t="s">
        <v>730</v>
      </c>
      <c r="L57" s="350"/>
      <c r="M57" s="350"/>
      <c r="N57" s="350"/>
      <c r="P57" s="352" t="s">
        <v>735</v>
      </c>
      <c r="Q57" s="352"/>
      <c r="R57" s="352"/>
      <c r="S57" s="352"/>
      <c r="T57" s="352"/>
    </row>
    <row r="59" spans="6:20" ht="18.600000000000001" x14ac:dyDescent="0.6">
      <c r="K59" s="353" t="s">
        <v>670</v>
      </c>
    </row>
    <row r="62" spans="6:20" ht="29.7" x14ac:dyDescent="0.95">
      <c r="F62" s="349" t="s">
        <v>671</v>
      </c>
    </row>
    <row r="64" spans="6:20" ht="14.4" customHeight="1" x14ac:dyDescent="0.55000000000000004">
      <c r="F64" s="876" t="s">
        <v>762</v>
      </c>
      <c r="G64" s="876"/>
      <c r="H64" s="876"/>
      <c r="I64" s="876"/>
      <c r="J64" s="876"/>
      <c r="K64" s="876"/>
      <c r="L64" s="876"/>
      <c r="M64" s="876"/>
      <c r="N64" s="876"/>
      <c r="O64" s="876"/>
      <c r="P64" s="876"/>
      <c r="Q64" s="876"/>
      <c r="R64" s="876"/>
      <c r="S64" s="876"/>
      <c r="T64" s="876"/>
    </row>
    <row r="65" spans="6:20" x14ac:dyDescent="0.55000000000000004">
      <c r="F65" s="876"/>
      <c r="G65" s="876"/>
      <c r="H65" s="876"/>
      <c r="I65" s="876"/>
      <c r="J65" s="876"/>
      <c r="K65" s="876"/>
      <c r="L65" s="876"/>
      <c r="M65" s="876"/>
      <c r="N65" s="876"/>
      <c r="O65" s="876"/>
      <c r="P65" s="876"/>
      <c r="Q65" s="876"/>
      <c r="R65" s="876"/>
      <c r="S65" s="876"/>
      <c r="T65" s="876"/>
    </row>
    <row r="66" spans="6:20" x14ac:dyDescent="0.55000000000000004">
      <c r="F66" s="350"/>
      <c r="G66" s="350"/>
      <c r="H66" s="350"/>
      <c r="I66" s="350"/>
      <c r="J66" s="350"/>
      <c r="K66" s="350"/>
      <c r="L66" s="350"/>
      <c r="M66" s="350"/>
      <c r="N66" s="350"/>
      <c r="O66" s="350"/>
      <c r="P66" s="350"/>
      <c r="Q66" s="350"/>
      <c r="R66" s="350"/>
      <c r="S66" s="350"/>
      <c r="T66" s="350"/>
    </row>
    <row r="67" spans="6:20" x14ac:dyDescent="0.55000000000000004">
      <c r="F67" s="354" t="s">
        <v>672</v>
      </c>
      <c r="K67" s="354" t="s">
        <v>673</v>
      </c>
      <c r="P67" s="354" t="s">
        <v>675</v>
      </c>
    </row>
    <row r="68" spans="6:20" ht="7.8" customHeight="1" x14ac:dyDescent="0.55000000000000004"/>
    <row r="69" spans="6:20" ht="14.4" customHeight="1" x14ac:dyDescent="0.55000000000000004">
      <c r="F69" s="876" t="s">
        <v>737</v>
      </c>
      <c r="G69" s="876"/>
      <c r="H69" s="876"/>
      <c r="I69" s="876"/>
      <c r="K69" s="876" t="s">
        <v>674</v>
      </c>
      <c r="L69" s="876"/>
      <c r="M69" s="876"/>
      <c r="N69" s="876"/>
      <c r="P69" s="876" t="s">
        <v>738</v>
      </c>
      <c r="Q69" s="876"/>
      <c r="R69" s="876"/>
      <c r="S69" s="876"/>
      <c r="T69" s="876"/>
    </row>
    <row r="70" spans="6:20" x14ac:dyDescent="0.55000000000000004">
      <c r="F70" s="876"/>
      <c r="G70" s="876"/>
      <c r="H70" s="876"/>
      <c r="I70" s="876"/>
      <c r="K70" s="876"/>
      <c r="L70" s="876"/>
      <c r="M70" s="876"/>
      <c r="N70" s="876"/>
      <c r="P70" s="876"/>
      <c r="Q70" s="876"/>
      <c r="R70" s="876"/>
      <c r="S70" s="876"/>
      <c r="T70" s="876"/>
    </row>
    <row r="71" spans="6:20" x14ac:dyDescent="0.55000000000000004">
      <c r="F71" s="876"/>
      <c r="G71" s="876"/>
      <c r="H71" s="876"/>
      <c r="I71" s="876"/>
      <c r="K71" s="876"/>
      <c r="L71" s="876"/>
      <c r="M71" s="876"/>
      <c r="N71" s="876"/>
      <c r="P71" s="876"/>
      <c r="Q71" s="876"/>
      <c r="R71" s="876"/>
      <c r="S71" s="876"/>
      <c r="T71" s="876"/>
    </row>
    <row r="72" spans="6:20" x14ac:dyDescent="0.55000000000000004">
      <c r="F72" s="876"/>
      <c r="G72" s="876"/>
      <c r="H72" s="876"/>
      <c r="I72" s="876"/>
      <c r="K72" s="876"/>
      <c r="L72" s="876"/>
      <c r="M72" s="876"/>
      <c r="N72" s="876"/>
      <c r="P72" s="876"/>
      <c r="Q72" s="876"/>
      <c r="R72" s="876"/>
      <c r="S72" s="876"/>
      <c r="T72" s="876"/>
    </row>
    <row r="73" spans="6:20" x14ac:dyDescent="0.55000000000000004">
      <c r="F73" s="876"/>
      <c r="G73" s="876"/>
      <c r="H73" s="876"/>
      <c r="I73" s="876"/>
      <c r="K73" s="876"/>
      <c r="L73" s="876"/>
      <c r="M73" s="876"/>
      <c r="N73" s="876"/>
      <c r="P73" s="876"/>
      <c r="Q73" s="876"/>
      <c r="R73" s="876"/>
      <c r="S73" s="876"/>
      <c r="T73" s="876"/>
    </row>
    <row r="74" spans="6:20" x14ac:dyDescent="0.55000000000000004">
      <c r="F74" s="876"/>
      <c r="G74" s="876"/>
      <c r="H74" s="876"/>
      <c r="I74" s="876"/>
      <c r="K74" s="876"/>
      <c r="L74" s="876"/>
      <c r="M74" s="876"/>
      <c r="N74" s="876"/>
      <c r="P74" s="876"/>
      <c r="Q74" s="876"/>
      <c r="R74" s="876"/>
      <c r="S74" s="876"/>
      <c r="T74" s="876"/>
    </row>
    <row r="75" spans="6:20" x14ac:dyDescent="0.55000000000000004">
      <c r="F75" s="876"/>
      <c r="G75" s="876"/>
      <c r="H75" s="876"/>
      <c r="I75" s="876"/>
      <c r="K75" s="876"/>
      <c r="L75" s="876"/>
      <c r="M75" s="876"/>
      <c r="N75" s="876"/>
      <c r="P75" s="876"/>
      <c r="Q75" s="876"/>
      <c r="R75" s="876"/>
      <c r="S75" s="876"/>
      <c r="T75" s="876"/>
    </row>
    <row r="76" spans="6:20" x14ac:dyDescent="0.55000000000000004">
      <c r="F76" s="876"/>
      <c r="G76" s="876"/>
      <c r="H76" s="876"/>
      <c r="I76" s="876"/>
      <c r="K76" s="876"/>
      <c r="L76" s="876"/>
      <c r="M76" s="876"/>
      <c r="N76" s="876"/>
      <c r="P76" s="876"/>
      <c r="Q76" s="876"/>
      <c r="R76" s="876"/>
      <c r="S76" s="876"/>
      <c r="T76" s="876"/>
    </row>
    <row r="77" spans="6:20" x14ac:dyDescent="0.55000000000000004">
      <c r="F77" s="876"/>
      <c r="G77" s="876"/>
      <c r="H77" s="876"/>
      <c r="I77" s="876"/>
      <c r="K77" s="876"/>
      <c r="L77" s="876"/>
      <c r="M77" s="876"/>
      <c r="N77" s="876"/>
      <c r="P77" s="876"/>
      <c r="Q77" s="876"/>
      <c r="R77" s="876"/>
      <c r="S77" s="876"/>
      <c r="T77" s="876"/>
    </row>
    <row r="78" spans="6:20" x14ac:dyDescent="0.55000000000000004">
      <c r="F78" s="876"/>
      <c r="G78" s="876"/>
      <c r="H78" s="876"/>
      <c r="I78" s="876"/>
      <c r="K78" s="876"/>
      <c r="L78" s="876"/>
      <c r="M78" s="876"/>
      <c r="N78" s="876"/>
      <c r="P78" s="876"/>
      <c r="Q78" s="876"/>
      <c r="R78" s="876"/>
      <c r="S78" s="876"/>
      <c r="T78" s="876"/>
    </row>
    <row r="79" spans="6:20" x14ac:dyDescent="0.55000000000000004">
      <c r="F79" s="876"/>
      <c r="G79" s="876"/>
      <c r="H79" s="876"/>
      <c r="I79" s="876"/>
      <c r="K79" s="876"/>
      <c r="L79" s="876"/>
      <c r="M79" s="876"/>
      <c r="N79" s="876"/>
      <c r="P79" s="350"/>
      <c r="Q79" s="350"/>
      <c r="R79" s="350"/>
      <c r="S79" s="350"/>
      <c r="T79" s="350"/>
    </row>
    <row r="80" spans="6:20" x14ac:dyDescent="0.55000000000000004">
      <c r="F80" s="876"/>
      <c r="G80" s="876"/>
      <c r="H80" s="876"/>
      <c r="I80" s="876"/>
      <c r="K80" s="876"/>
      <c r="L80" s="876"/>
      <c r="M80" s="876"/>
      <c r="N80" s="876"/>
      <c r="Q80" s="350"/>
      <c r="R80" s="350"/>
      <c r="S80" s="350"/>
      <c r="T80" s="350"/>
    </row>
    <row r="81" spans="6:20" x14ac:dyDescent="0.55000000000000004">
      <c r="F81" s="876"/>
      <c r="G81" s="876"/>
      <c r="H81" s="876"/>
      <c r="I81" s="876"/>
      <c r="K81" s="876"/>
      <c r="L81" s="876"/>
      <c r="M81" s="876"/>
      <c r="N81" s="876"/>
      <c r="P81" s="350"/>
      <c r="Q81" s="350"/>
      <c r="R81" s="350"/>
      <c r="S81" s="350"/>
      <c r="T81" s="350"/>
    </row>
    <row r="82" spans="6:20" ht="22.2" x14ac:dyDescent="0.7">
      <c r="F82" s="876"/>
      <c r="G82" s="876"/>
      <c r="H82" s="876"/>
      <c r="I82" s="876"/>
      <c r="K82" s="876"/>
      <c r="L82" s="876"/>
      <c r="M82" s="876"/>
      <c r="N82" s="876"/>
      <c r="P82" s="355"/>
      <c r="Q82" s="350"/>
      <c r="R82" s="350"/>
      <c r="S82" s="350"/>
      <c r="T82" s="350"/>
    </row>
    <row r="83" spans="6:20" x14ac:dyDescent="0.55000000000000004">
      <c r="F83" s="876"/>
      <c r="G83" s="876"/>
      <c r="H83" s="876"/>
      <c r="I83" s="876"/>
      <c r="K83" s="876"/>
      <c r="L83" s="876"/>
      <c r="M83" s="876"/>
      <c r="N83" s="876"/>
      <c r="P83" s="350"/>
      <c r="Q83" s="350"/>
      <c r="R83" s="350"/>
      <c r="S83" s="350"/>
      <c r="T83" s="350"/>
    </row>
    <row r="100" spans="6:20" ht="18.3" x14ac:dyDescent="0.7">
      <c r="F100" s="356" t="s">
        <v>676</v>
      </c>
    </row>
    <row r="101" spans="6:20" ht="6.6" customHeight="1" x14ac:dyDescent="0.55000000000000004"/>
    <row r="102" spans="6:20" x14ac:dyDescent="0.55000000000000004">
      <c r="F102" s="338" t="s">
        <v>679</v>
      </c>
    </row>
    <row r="103" spans="6:20" x14ac:dyDescent="0.55000000000000004">
      <c r="F103" s="338" t="s">
        <v>680</v>
      </c>
    </row>
    <row r="104" spans="6:20" x14ac:dyDescent="0.55000000000000004">
      <c r="F104" s="338" t="s">
        <v>708</v>
      </c>
    </row>
    <row r="106" spans="6:20" ht="18.3" x14ac:dyDescent="0.7">
      <c r="F106" s="356" t="s">
        <v>677</v>
      </c>
    </row>
    <row r="107" spans="6:20" ht="6.9" customHeight="1" x14ac:dyDescent="0.55000000000000004"/>
    <row r="108" spans="6:20" ht="14.4" customHeight="1" x14ac:dyDescent="0.55000000000000004">
      <c r="F108" s="877" t="s">
        <v>883</v>
      </c>
      <c r="G108" s="877"/>
      <c r="H108" s="877"/>
      <c r="I108" s="877"/>
      <c r="J108" s="877"/>
      <c r="K108" s="877"/>
      <c r="L108" s="877"/>
      <c r="M108" s="877"/>
      <c r="N108" s="877"/>
      <c r="O108" s="877"/>
      <c r="P108" s="877"/>
      <c r="Q108" s="877"/>
      <c r="R108" s="877"/>
      <c r="S108" s="877"/>
      <c r="T108" s="877"/>
    </row>
    <row r="109" spans="6:20" ht="14.4" customHeight="1" x14ac:dyDescent="0.55000000000000004">
      <c r="F109" s="877"/>
      <c r="G109" s="877"/>
      <c r="H109" s="877"/>
      <c r="I109" s="877"/>
      <c r="J109" s="877"/>
      <c r="K109" s="877"/>
      <c r="L109" s="877"/>
      <c r="M109" s="877"/>
      <c r="N109" s="877"/>
      <c r="O109" s="877"/>
      <c r="P109" s="877"/>
      <c r="Q109" s="877"/>
      <c r="R109" s="877"/>
      <c r="S109" s="877"/>
      <c r="T109" s="877"/>
    </row>
    <row r="110" spans="6:20" ht="14.4" customHeight="1" x14ac:dyDescent="0.55000000000000004">
      <c r="F110" s="877"/>
      <c r="G110" s="877"/>
      <c r="H110" s="877"/>
      <c r="I110" s="877"/>
      <c r="J110" s="877"/>
      <c r="K110" s="877"/>
      <c r="L110" s="877"/>
      <c r="M110" s="877"/>
      <c r="N110" s="877"/>
      <c r="O110" s="877"/>
      <c r="P110" s="877"/>
      <c r="Q110" s="877"/>
      <c r="R110" s="877"/>
      <c r="S110" s="877"/>
      <c r="T110" s="877"/>
    </row>
    <row r="111" spans="6:20" ht="14.4" customHeight="1" x14ac:dyDescent="0.55000000000000004">
      <c r="F111" s="877"/>
      <c r="G111" s="877"/>
      <c r="H111" s="877"/>
      <c r="I111" s="877"/>
      <c r="J111" s="877"/>
      <c r="K111" s="877"/>
      <c r="L111" s="877"/>
      <c r="M111" s="877"/>
      <c r="N111" s="877"/>
      <c r="O111" s="877"/>
      <c r="P111" s="877"/>
      <c r="Q111" s="877"/>
      <c r="R111" s="877"/>
      <c r="S111" s="877"/>
      <c r="T111" s="877"/>
    </row>
    <row r="112" spans="6:20" ht="14.4" customHeight="1" x14ac:dyDescent="0.55000000000000004">
      <c r="F112" s="877"/>
      <c r="G112" s="877"/>
      <c r="H112" s="877"/>
      <c r="I112" s="877"/>
      <c r="J112" s="877"/>
      <c r="K112" s="877"/>
      <c r="L112" s="877"/>
      <c r="M112" s="877"/>
      <c r="N112" s="877"/>
      <c r="O112" s="877"/>
      <c r="P112" s="877"/>
      <c r="Q112" s="877"/>
      <c r="R112" s="877"/>
      <c r="S112" s="877"/>
      <c r="T112" s="877"/>
    </row>
    <row r="113" spans="6:20" ht="14.4" customHeight="1" x14ac:dyDescent="0.55000000000000004">
      <c r="F113" s="877"/>
      <c r="G113" s="877"/>
      <c r="H113" s="877"/>
      <c r="I113" s="877"/>
      <c r="J113" s="877"/>
      <c r="K113" s="877"/>
      <c r="L113" s="877"/>
      <c r="M113" s="877"/>
      <c r="N113" s="877"/>
      <c r="O113" s="877"/>
      <c r="P113" s="877"/>
      <c r="Q113" s="877"/>
      <c r="R113" s="877"/>
      <c r="S113" s="877"/>
      <c r="T113" s="877"/>
    </row>
    <row r="114" spans="6:20" ht="14.4" customHeight="1" x14ac:dyDescent="0.55000000000000004">
      <c r="F114" s="877"/>
      <c r="G114" s="877"/>
      <c r="H114" s="877"/>
      <c r="I114" s="877"/>
      <c r="J114" s="877"/>
      <c r="K114" s="877"/>
      <c r="L114" s="877"/>
      <c r="M114" s="877"/>
      <c r="N114" s="877"/>
      <c r="O114" s="877"/>
      <c r="P114" s="877"/>
      <c r="Q114" s="877"/>
      <c r="R114" s="877"/>
      <c r="S114" s="877"/>
      <c r="T114" s="877"/>
    </row>
    <row r="115" spans="6:20" ht="14.4" customHeight="1" x14ac:dyDescent="0.55000000000000004">
      <c r="F115" s="877"/>
      <c r="G115" s="877"/>
      <c r="H115" s="877"/>
      <c r="I115" s="877"/>
      <c r="J115" s="877"/>
      <c r="K115" s="877"/>
      <c r="L115" s="877"/>
      <c r="M115" s="877"/>
      <c r="N115" s="877"/>
      <c r="O115" s="877"/>
      <c r="P115" s="877"/>
      <c r="Q115" s="877"/>
      <c r="R115" s="877"/>
      <c r="S115" s="877"/>
      <c r="T115" s="877"/>
    </row>
    <row r="116" spans="6:20" x14ac:dyDescent="0.55000000000000004">
      <c r="F116" s="877"/>
      <c r="G116" s="877"/>
      <c r="H116" s="877"/>
      <c r="I116" s="877"/>
      <c r="J116" s="877"/>
      <c r="K116" s="877"/>
      <c r="L116" s="877"/>
      <c r="M116" s="877"/>
      <c r="N116" s="877"/>
      <c r="O116" s="877"/>
      <c r="P116" s="877"/>
      <c r="Q116" s="877"/>
      <c r="R116" s="877"/>
      <c r="S116" s="877"/>
      <c r="T116" s="877"/>
    </row>
    <row r="117" spans="6:20" x14ac:dyDescent="0.55000000000000004">
      <c r="F117" s="6"/>
      <c r="G117" s="6"/>
      <c r="H117" s="6"/>
      <c r="I117" s="6"/>
      <c r="J117" s="6"/>
      <c r="K117" s="6"/>
      <c r="L117" s="6"/>
      <c r="M117" s="6"/>
      <c r="N117" s="6"/>
      <c r="O117" s="6"/>
      <c r="P117" s="6"/>
      <c r="Q117" s="6"/>
      <c r="R117" s="6"/>
      <c r="S117" s="6"/>
      <c r="T117" s="6"/>
    </row>
    <row r="118" spans="6:20" x14ac:dyDescent="0.55000000000000004">
      <c r="F118" s="877" t="s">
        <v>884</v>
      </c>
      <c r="G118" s="877"/>
      <c r="H118" s="877"/>
      <c r="I118" s="877"/>
      <c r="J118" s="877"/>
      <c r="K118" s="877"/>
      <c r="L118" s="877"/>
      <c r="M118" s="877"/>
      <c r="N118" s="877"/>
      <c r="O118" s="877"/>
      <c r="P118" s="877"/>
      <c r="Q118" s="877"/>
      <c r="R118" s="877"/>
      <c r="S118" s="877"/>
      <c r="T118" s="877"/>
    </row>
    <row r="119" spans="6:20" x14ac:dyDescent="0.55000000000000004">
      <c r="F119" s="877"/>
      <c r="G119" s="877"/>
      <c r="H119" s="877"/>
      <c r="I119" s="877"/>
      <c r="J119" s="877"/>
      <c r="K119" s="877"/>
      <c r="L119" s="877"/>
      <c r="M119" s="877"/>
      <c r="N119" s="877"/>
      <c r="O119" s="877"/>
      <c r="P119" s="877"/>
      <c r="Q119" s="877"/>
      <c r="R119" s="877"/>
      <c r="S119" s="877"/>
      <c r="T119" s="877"/>
    </row>
    <row r="120" spans="6:20" x14ac:dyDescent="0.55000000000000004">
      <c r="F120" s="6" t="s">
        <v>739</v>
      </c>
      <c r="G120" s="6"/>
      <c r="H120" s="6"/>
      <c r="I120" s="6"/>
      <c r="J120" s="6"/>
      <c r="K120" s="6"/>
      <c r="L120" s="6"/>
      <c r="M120" s="6"/>
      <c r="N120" s="6"/>
      <c r="O120" s="6"/>
      <c r="P120" s="6"/>
      <c r="Q120" s="6"/>
      <c r="R120" s="6"/>
      <c r="S120" s="6"/>
      <c r="T120" s="6"/>
    </row>
    <row r="121" spans="6:20" x14ac:dyDescent="0.55000000000000004">
      <c r="F121" s="6" t="s">
        <v>740</v>
      </c>
      <c r="G121" s="6"/>
      <c r="H121" s="6"/>
      <c r="I121" s="6"/>
      <c r="J121" s="6"/>
      <c r="K121" s="6"/>
      <c r="L121" s="6"/>
      <c r="M121" s="6"/>
      <c r="N121" s="6"/>
      <c r="O121" s="6"/>
      <c r="P121" s="6"/>
      <c r="Q121" s="6"/>
      <c r="R121" s="6"/>
      <c r="S121" s="6"/>
      <c r="T121" s="6"/>
    </row>
    <row r="122" spans="6:20" x14ac:dyDescent="0.55000000000000004">
      <c r="F122" s="6" t="s">
        <v>741</v>
      </c>
      <c r="G122" s="6"/>
      <c r="H122" s="6"/>
      <c r="I122" s="6"/>
      <c r="J122" s="6"/>
      <c r="K122" s="6"/>
      <c r="L122" s="6"/>
      <c r="M122" s="6"/>
      <c r="N122" s="6"/>
      <c r="O122" s="6"/>
      <c r="P122" s="6"/>
      <c r="Q122" s="6"/>
      <c r="R122" s="6"/>
      <c r="S122" s="6"/>
      <c r="T122" s="6"/>
    </row>
    <row r="123" spans="6:20" x14ac:dyDescent="0.55000000000000004">
      <c r="F123" s="6" t="s">
        <v>742</v>
      </c>
      <c r="G123" s="6"/>
      <c r="H123" s="6"/>
      <c r="I123" s="6"/>
      <c r="J123" s="6"/>
      <c r="K123" s="6"/>
      <c r="L123" s="6"/>
      <c r="M123" s="6"/>
      <c r="N123" s="6"/>
      <c r="O123" s="6"/>
      <c r="P123" s="6"/>
      <c r="Q123" s="6"/>
      <c r="R123" s="6"/>
      <c r="S123" s="6"/>
      <c r="T123" s="6"/>
    </row>
    <row r="125" spans="6:20" ht="18.3" x14ac:dyDescent="0.7">
      <c r="F125" s="356" t="s">
        <v>678</v>
      </c>
    </row>
    <row r="127" spans="6:20" x14ac:dyDescent="0.55000000000000004">
      <c r="F127" s="876" t="s">
        <v>709</v>
      </c>
      <c r="G127" s="876"/>
      <c r="H127" s="876"/>
      <c r="I127" s="876"/>
      <c r="J127" s="876"/>
      <c r="K127" s="876"/>
      <c r="L127" s="876"/>
      <c r="M127" s="876"/>
      <c r="N127" s="876"/>
      <c r="O127" s="876"/>
      <c r="P127" s="876"/>
      <c r="Q127" s="876"/>
      <c r="R127" s="876"/>
      <c r="S127" s="876"/>
      <c r="T127" s="876"/>
    </row>
    <row r="128" spans="6:20" x14ac:dyDescent="0.55000000000000004">
      <c r="F128" s="876"/>
      <c r="G128" s="876"/>
      <c r="H128" s="876"/>
      <c r="I128" s="876"/>
      <c r="J128" s="876"/>
      <c r="K128" s="876"/>
      <c r="L128" s="876"/>
      <c r="M128" s="876"/>
      <c r="N128" s="876"/>
      <c r="O128" s="876"/>
      <c r="P128" s="876"/>
      <c r="Q128" s="876"/>
      <c r="R128" s="876"/>
      <c r="S128" s="876"/>
      <c r="T128" s="876"/>
    </row>
    <row r="129" spans="6:20" x14ac:dyDescent="0.55000000000000004">
      <c r="F129" s="876"/>
      <c r="G129" s="876"/>
      <c r="H129" s="876"/>
      <c r="I129" s="876"/>
      <c r="J129" s="876"/>
      <c r="K129" s="876"/>
      <c r="L129" s="876"/>
      <c r="M129" s="876"/>
      <c r="N129" s="876"/>
      <c r="O129" s="876"/>
      <c r="P129" s="876"/>
      <c r="Q129" s="876"/>
      <c r="R129" s="876"/>
      <c r="S129" s="876"/>
      <c r="T129" s="876"/>
    </row>
    <row r="130" spans="6:20" x14ac:dyDescent="0.55000000000000004">
      <c r="F130" s="876"/>
      <c r="G130" s="876"/>
      <c r="H130" s="876"/>
      <c r="I130" s="876"/>
      <c r="J130" s="876"/>
      <c r="K130" s="876"/>
      <c r="L130" s="876"/>
      <c r="M130" s="876"/>
      <c r="N130" s="876"/>
      <c r="O130" s="876"/>
      <c r="P130" s="876"/>
      <c r="Q130" s="876"/>
      <c r="R130" s="876"/>
      <c r="S130" s="876"/>
      <c r="T130" s="876"/>
    </row>
    <row r="147" spans="9:19" x14ac:dyDescent="0.55000000000000004">
      <c r="S147" s="344"/>
    </row>
    <row r="155" spans="9:19" ht="19.2" x14ac:dyDescent="0.7">
      <c r="I155" s="357" t="s">
        <v>681</v>
      </c>
      <c r="Q155" s="358" t="s">
        <v>686</v>
      </c>
    </row>
    <row r="156" spans="9:19" ht="7.2" customHeight="1" x14ac:dyDescent="0.55000000000000004">
      <c r="I156" s="359"/>
      <c r="Q156" s="360"/>
    </row>
    <row r="157" spans="9:19" ht="16.8" customHeight="1" x14ac:dyDescent="0.55000000000000004"/>
  </sheetData>
  <mergeCells count="11">
    <mergeCell ref="F41:I45"/>
    <mergeCell ref="K41:N45"/>
    <mergeCell ref="P41:T45"/>
    <mergeCell ref="F26:L27"/>
    <mergeCell ref="P69:T78"/>
    <mergeCell ref="F127:T130"/>
    <mergeCell ref="F64:T65"/>
    <mergeCell ref="F69:I83"/>
    <mergeCell ref="K69:N83"/>
    <mergeCell ref="F108:T116"/>
    <mergeCell ref="F118:T1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T86"/>
  <sheetViews>
    <sheetView zoomScale="89" zoomScaleNormal="89" workbookViewId="0">
      <selection activeCell="U3" sqref="U3"/>
    </sheetView>
  </sheetViews>
  <sheetFormatPr defaultRowHeight="14.4" x14ac:dyDescent="0.55000000000000004"/>
  <cols>
    <col min="1" max="1" width="9.47265625" style="371" bestFit="1" customWidth="1"/>
    <col min="2" max="2" width="12.734375" style="371" customWidth="1"/>
    <col min="3" max="3" width="13.15625" style="371" customWidth="1"/>
    <col min="4" max="4" width="16.41796875" style="371" customWidth="1"/>
    <col min="5" max="5" width="13.7890625" style="371" customWidth="1"/>
    <col min="6" max="6" width="13.05078125" style="371" customWidth="1"/>
    <col min="7" max="7" width="25.734375" style="371" customWidth="1"/>
    <col min="8" max="8" width="21.1015625" style="371" customWidth="1"/>
    <col min="9" max="9" width="13.26171875" style="371" bestFit="1" customWidth="1"/>
    <col min="10" max="10" width="10.83984375" style="371" customWidth="1"/>
    <col min="11" max="11" width="10.734375" style="371" customWidth="1"/>
    <col min="12" max="12" width="14.26171875" style="371" customWidth="1"/>
    <col min="13" max="14" width="8.9453125" style="371" customWidth="1"/>
    <col min="15" max="15" width="14.62890625" style="371" customWidth="1"/>
    <col min="16" max="16" width="10.734375" style="371" customWidth="1"/>
    <col min="17" max="17" width="11.26171875" style="371" customWidth="1"/>
    <col min="18" max="18" width="18.5234375" style="371" customWidth="1"/>
    <col min="19" max="19" width="12.05078125" style="371" customWidth="1"/>
    <col min="20" max="20" width="12.20703125" style="371" customWidth="1"/>
    <col min="21" max="21" width="22.83984375" style="371" customWidth="1"/>
    <col min="22" max="23" width="8.9453125" style="371" customWidth="1"/>
    <col min="24" max="24" width="11.1015625" style="371" customWidth="1"/>
    <col min="25" max="25" width="9.7890625" style="371" customWidth="1"/>
    <col min="26" max="26" width="9.734375" style="371" customWidth="1"/>
    <col min="27" max="29" width="8.9453125" style="371" customWidth="1"/>
    <col min="30" max="30" width="10.3125" style="371" customWidth="1"/>
    <col min="31" max="32" width="8.9453125" style="371" customWidth="1"/>
    <col min="33" max="33" width="6.68359375" style="371" customWidth="1"/>
    <col min="34" max="34" width="19.68359375" style="371" customWidth="1"/>
    <col min="35" max="35" width="11.1015625" style="371" customWidth="1"/>
    <col min="36" max="36" width="12.7890625" style="371" customWidth="1"/>
    <col min="37" max="37" width="10.47265625" style="371" customWidth="1"/>
    <col min="38" max="38" width="8.9453125" style="371" customWidth="1"/>
    <col min="39" max="39" width="10.3671875" style="371" customWidth="1"/>
    <col min="40" max="40" width="12.15625" style="371" customWidth="1"/>
    <col min="41" max="46" width="8" style="371" customWidth="1"/>
    <col min="47" max="47" width="13" style="371" customWidth="1"/>
    <col min="48" max="48" width="16.20703125" style="371" customWidth="1"/>
    <col min="49" max="49" width="9.41796875" style="371" bestFit="1" customWidth="1"/>
    <col min="50" max="50" width="8.83984375" style="371"/>
    <col min="51" max="51" width="9.5234375" style="371" bestFit="1" customWidth="1"/>
    <col min="52" max="52" width="8.89453125" style="371" bestFit="1" customWidth="1"/>
    <col min="53" max="53" width="12.05078125" style="371" customWidth="1"/>
    <col min="54" max="54" width="14.1015625" style="371" customWidth="1"/>
    <col min="55" max="72" width="11.41796875" style="371" customWidth="1"/>
    <col min="73" max="73" width="13.7890625" style="371" customWidth="1"/>
    <col min="74" max="74" width="12.05078125" style="371" customWidth="1"/>
    <col min="75" max="76" width="12.89453125" style="371" customWidth="1"/>
    <col min="77" max="77" width="13.05078125" style="371" customWidth="1"/>
    <col min="78" max="78" width="11.83984375" style="371" customWidth="1"/>
    <col min="79" max="79" width="9.734375" style="371" customWidth="1"/>
    <col min="80" max="80" width="12.05078125" style="371" customWidth="1"/>
    <col min="81" max="81" width="11.5234375" style="371" customWidth="1"/>
    <col min="82" max="82" width="12.05078125" style="371" customWidth="1"/>
    <col min="83" max="83" width="13.62890625" style="371" customWidth="1"/>
    <col min="84" max="84" width="13" style="371" customWidth="1"/>
    <col min="85" max="86" width="10.15625" style="371" customWidth="1"/>
    <col min="87" max="87" width="8.89453125" style="371" bestFit="1" customWidth="1"/>
    <col min="88" max="88" width="12.41796875" style="371" customWidth="1"/>
    <col min="89" max="89" width="11.62890625" style="371" customWidth="1"/>
    <col min="90" max="90" width="10.62890625" style="371" customWidth="1"/>
    <col min="91" max="91" width="10.41796875" style="371" customWidth="1"/>
    <col min="92" max="92" width="10.89453125" style="371" customWidth="1"/>
    <col min="93" max="93" width="10.3125" style="371" customWidth="1"/>
    <col min="94" max="94" width="10.3125" style="378" customWidth="1"/>
    <col min="95" max="95" width="10.20703125" style="371" customWidth="1"/>
    <col min="96" max="96" width="11.26171875" style="371" customWidth="1"/>
    <col min="97" max="97" width="8.89453125" style="371" bestFit="1" customWidth="1"/>
    <col min="98" max="98" width="11.41796875" style="371" customWidth="1"/>
    <col min="99" max="99" width="8.83984375" style="371"/>
    <col min="100" max="100" width="8.89453125" style="371" bestFit="1" customWidth="1"/>
    <col min="101" max="101" width="9.83984375" style="371" customWidth="1"/>
    <col min="102" max="102" width="9.9453125" style="371" customWidth="1"/>
    <col min="103" max="103" width="10.62890625" style="371" customWidth="1"/>
    <col min="104" max="108" width="8.89453125" style="371" bestFit="1" customWidth="1"/>
    <col min="109" max="109" width="10.734375" style="371" customWidth="1"/>
    <col min="110" max="110" width="8.89453125" style="371" bestFit="1" customWidth="1"/>
    <col min="111" max="111" width="8.83984375" style="371"/>
    <col min="112" max="114" width="8.89453125" style="371" bestFit="1" customWidth="1"/>
    <col min="115" max="115" width="12.3125" style="371" bestFit="1" customWidth="1"/>
    <col min="116" max="117" width="8.89453125" style="371" bestFit="1" customWidth="1"/>
    <col min="118" max="119" width="8.83984375" style="371"/>
    <col min="120" max="121" width="8.83984375" style="379"/>
    <col min="122" max="122" width="8.89453125" style="371" bestFit="1" customWidth="1"/>
    <col min="123" max="123" width="8.83984375" style="371"/>
    <col min="124" max="124" width="8.83984375" style="379"/>
    <col min="125" max="16384" width="8.83984375" style="371"/>
  </cols>
  <sheetData>
    <row r="1" spans="1:124" s="362" customFormat="1" ht="20.399999999999999" x14ac:dyDescent="0.75">
      <c r="A1" s="361" t="s">
        <v>34</v>
      </c>
      <c r="I1" s="363" t="s">
        <v>55</v>
      </c>
      <c r="M1" s="364"/>
      <c r="N1" s="365" t="s">
        <v>34</v>
      </c>
      <c r="O1" s="366"/>
      <c r="P1" s="366"/>
      <c r="Q1" s="366"/>
      <c r="R1" s="366"/>
      <c r="S1" s="366"/>
      <c r="T1" s="881" t="s">
        <v>723</v>
      </c>
      <c r="U1" s="882"/>
      <c r="V1" s="367" t="str" cm="1">
        <f t="array" aca="1" ref="V1" ca="1">_xlfn.IFS(T2&gt;=T11,"",TRUE,"Deze tool is verlopen, download de gratis update")</f>
        <v/>
      </c>
      <c r="W1" s="368"/>
      <c r="X1" s="368"/>
      <c r="Y1" s="368"/>
      <c r="AA1" s="362" t="s">
        <v>262</v>
      </c>
      <c r="AH1" s="362" t="s">
        <v>334</v>
      </c>
      <c r="CP1" s="369"/>
      <c r="DP1" s="370"/>
      <c r="DQ1" s="370"/>
      <c r="DT1" s="370"/>
    </row>
    <row r="2" spans="1:124" x14ac:dyDescent="0.55000000000000004">
      <c r="M2" s="372" t="s">
        <v>261</v>
      </c>
      <c r="N2" s="373"/>
      <c r="O2" s="373"/>
      <c r="P2" s="373"/>
      <c r="Q2" s="373"/>
      <c r="R2" s="373"/>
      <c r="S2" s="373"/>
      <c r="T2" s="374">
        <f>U2</f>
        <v>44084</v>
      </c>
      <c r="U2" s="375">
        <v>44084</v>
      </c>
      <c r="V2" s="376" t="str" cm="1">
        <f t="array" aca="1" ref="V2" ca="1">_xlfn.IFS(T2&gt;=T11,"",TRUE,"Downloaden update")</f>
        <v/>
      </c>
      <c r="W2" s="376"/>
      <c r="X2" s="376"/>
      <c r="Y2" s="376"/>
      <c r="Z2" s="377" t="s">
        <v>261</v>
      </c>
      <c r="AA2" s="377"/>
      <c r="AB2" s="377"/>
      <c r="AC2" s="377"/>
      <c r="AD2" s="377"/>
      <c r="AE2" s="377"/>
      <c r="AF2" s="371" t="s">
        <v>279</v>
      </c>
    </row>
    <row r="3" spans="1:124" ht="23.1" x14ac:dyDescent="0.85">
      <c r="B3" s="380" t="s">
        <v>19</v>
      </c>
      <c r="E3" s="381" t="s">
        <v>58</v>
      </c>
      <c r="M3" s="372" t="s">
        <v>261</v>
      </c>
      <c r="N3" s="373"/>
      <c r="O3" s="382" t="s">
        <v>19</v>
      </c>
      <c r="P3" s="373"/>
      <c r="Q3" s="373"/>
      <c r="R3" s="383" t="s">
        <v>58</v>
      </c>
      <c r="S3" s="384" t="str" cm="1">
        <f t="array" ref="S3">_xlfn.IFS(Ontslagregeling!E16="Einde tijdelijk dienstverband",_xlfn.IFS(Ontslagregeling!E17="Andere reden (kantonrechter)","Tijdelijk kantonrechter",TRUE,"Tijdelijk UWV"), TRUE,Ontslagregeling!E16)</f>
        <v>Kies de reden voor ontslag</v>
      </c>
      <c r="T3" s="373"/>
      <c r="U3" s="373"/>
      <c r="V3" s="385"/>
      <c r="W3" s="385"/>
      <c r="X3" s="373"/>
      <c r="Y3" s="373"/>
      <c r="Z3" s="377" t="s">
        <v>261</v>
      </c>
      <c r="AB3" s="377" t="s">
        <v>310</v>
      </c>
      <c r="AD3" s="377"/>
      <c r="AE3" s="377">
        <f ca="1">DATEDIF(T14,T18,"D")</f>
        <v>42</v>
      </c>
      <c r="AF3" s="371" cm="1">
        <f t="array" ref="AF3">_xlfn.IFS($T$4="ontslag",AE3,TRUE,0)</f>
        <v>0</v>
      </c>
      <c r="AG3" s="386"/>
      <c r="AH3" s="386" t="s">
        <v>333</v>
      </c>
      <c r="AI3" s="386">
        <f ca="1">AD37</f>
        <v>44063</v>
      </c>
      <c r="AJ3" s="386"/>
      <c r="AK3" s="386"/>
      <c r="AL3" s="387"/>
      <c r="AM3" s="387"/>
      <c r="AN3" s="388"/>
    </row>
    <row r="4" spans="1:124" x14ac:dyDescent="0.55000000000000004">
      <c r="B4" s="371" t="s">
        <v>20</v>
      </c>
      <c r="E4" s="381"/>
      <c r="F4" s="387" t="b">
        <v>1</v>
      </c>
      <c r="M4" s="372" t="s">
        <v>261</v>
      </c>
      <c r="N4" s="373"/>
      <c r="O4" s="373" t="s">
        <v>20</v>
      </c>
      <c r="P4" s="373"/>
      <c r="Q4" s="373"/>
      <c r="R4" s="373"/>
      <c r="S4" s="383" t="str" cm="1">
        <f t="array" ref="S4">_xlfn.IFS(S3="Andere ontslaggrond (kantonrechter)","ontb",S3="Bedrijfseconomisch (UWV-ontslag)","uwv",S3="Langdurige ziekte (UWV-ontslag)","uwv",S3="Tijdelijk UWV","tijduwv",S3="Tijdelijk kantonrechter","tijdontb",S3="Ontslag op staande voet (kantonrechter)","ontslag",TRUE,"UWV")</f>
        <v>UWV</v>
      </c>
      <c r="T4" s="373" t="b" cm="1">
        <f t="array" ref="T4">_xlfn.IFS(S4="ontb",FALSE,S4="ontslag",FALSE,S4="tijdontb",FALSE,TRUE,TRUE)</f>
        <v>1</v>
      </c>
      <c r="U4" s="373"/>
      <c r="V4" s="373"/>
      <c r="W4" s="373"/>
      <c r="X4" s="373"/>
      <c r="Y4" s="373"/>
      <c r="Z4" s="377" t="s">
        <v>261</v>
      </c>
      <c r="AB4" s="377" t="s">
        <v>275</v>
      </c>
      <c r="AD4" s="377"/>
      <c r="AE4" s="377">
        <f ca="1">DATEDIF(R11,R14,"M")</f>
        <v>4</v>
      </c>
      <c r="AF4" s="371" cm="1">
        <f t="array" ref="AF4">_xlfn.IFS($T$4="ontslag",AE4,TRUE,0)</f>
        <v>0</v>
      </c>
      <c r="AG4" s="386"/>
      <c r="AH4" s="386" t="s">
        <v>335</v>
      </c>
      <c r="AI4" s="386" cm="1">
        <f t="array" aca="1" ref="AI4" ca="1">_xlfn.IFS(T12&gt;AI3,0,TRUE,DATEDIF(T12,AI3,"D"))</f>
        <v>0</v>
      </c>
      <c r="AJ4" s="386"/>
      <c r="AK4" s="386"/>
      <c r="AW4" s="387"/>
      <c r="AX4" s="387"/>
    </row>
    <row r="5" spans="1:124" x14ac:dyDescent="0.55000000000000004">
      <c r="B5" s="371" t="s">
        <v>21</v>
      </c>
      <c r="E5" s="381"/>
      <c r="F5" s="387" t="b">
        <v>0</v>
      </c>
      <c r="M5" s="372" t="s">
        <v>261</v>
      </c>
      <c r="N5" s="373"/>
      <c r="O5" s="373" t="s">
        <v>21</v>
      </c>
      <c r="P5" s="373"/>
      <c r="Q5" s="373"/>
      <c r="R5" s="383"/>
      <c r="S5" s="373"/>
      <c r="T5" s="389"/>
      <c r="U5" s="373"/>
      <c r="V5" s="373"/>
      <c r="W5" s="373"/>
      <c r="X5" s="373"/>
      <c r="Y5" s="373"/>
      <c r="Z5" s="377" t="s">
        <v>261</v>
      </c>
      <c r="AA5" s="377"/>
      <c r="AB5" s="371" t="s">
        <v>311</v>
      </c>
      <c r="AE5" s="371">
        <f ca="1">DATEDIF(T16,R14,"D")</f>
        <v>134</v>
      </c>
      <c r="AF5" s="371" cm="1">
        <f t="array" ref="AF5">_xlfn.IFS($T$4="ontslag",AE5,TRUE,0)</f>
        <v>0</v>
      </c>
      <c r="AG5" s="386"/>
      <c r="AH5" s="386" t="s">
        <v>276</v>
      </c>
      <c r="AI5" s="386">
        <f ca="1">(R33-U30)*S49</f>
        <v>0</v>
      </c>
      <c r="AJ5" s="386"/>
      <c r="AK5" s="386"/>
      <c r="AN5" s="380"/>
    </row>
    <row r="6" spans="1:124" x14ac:dyDescent="0.55000000000000004">
      <c r="B6" s="371" t="s">
        <v>56</v>
      </c>
      <c r="E6" s="381" t="s">
        <v>57</v>
      </c>
      <c r="I6" s="387" t="s">
        <v>68</v>
      </c>
      <c r="M6" s="372" t="s">
        <v>261</v>
      </c>
      <c r="N6" s="373"/>
      <c r="O6" s="373" t="s">
        <v>56</v>
      </c>
      <c r="P6" s="373"/>
      <c r="Q6" s="373"/>
      <c r="R6" s="383" t="s">
        <v>57</v>
      </c>
      <c r="S6" s="373"/>
      <c r="T6" s="373"/>
      <c r="U6" s="373"/>
      <c r="V6" s="389" t="s">
        <v>68</v>
      </c>
      <c r="W6" s="373"/>
      <c r="X6" s="373"/>
      <c r="Y6" s="373"/>
      <c r="Z6" s="377" t="s">
        <v>261</v>
      </c>
      <c r="AA6" s="377"/>
      <c r="AB6" s="377" t="s">
        <v>309</v>
      </c>
      <c r="AD6" s="377"/>
      <c r="AE6" s="377">
        <v>365</v>
      </c>
      <c r="AF6" s="371" cm="1">
        <f t="array" ref="AF6">_xlfn.IFS($T$4="ontslag",AE6,TRUE,0)</f>
        <v>0</v>
      </c>
      <c r="AG6" s="386"/>
      <c r="AH6" s="386" t="s">
        <v>338</v>
      </c>
      <c r="AI6" s="386">
        <f ca="1">(AI5+R60)*12</f>
        <v>0</v>
      </c>
      <c r="AJ6" s="386" t="s">
        <v>339</v>
      </c>
      <c r="AK6" s="386"/>
    </row>
    <row r="7" spans="1:124" x14ac:dyDescent="0.55000000000000004">
      <c r="F7" s="387"/>
      <c r="G7" s="381"/>
      <c r="M7" s="372" t="s">
        <v>261</v>
      </c>
      <c r="N7" s="373"/>
      <c r="O7" s="373"/>
      <c r="P7" s="373"/>
      <c r="Q7" s="373"/>
      <c r="R7" s="373"/>
      <c r="S7" s="389"/>
      <c r="T7" s="383"/>
      <c r="U7" s="373"/>
      <c r="V7" s="373"/>
      <c r="W7" s="373"/>
      <c r="X7" s="373"/>
      <c r="Y7" s="373"/>
      <c r="Z7" s="377" t="s">
        <v>261</v>
      </c>
      <c r="AA7" s="377"/>
      <c r="AB7" s="377" t="s">
        <v>276</v>
      </c>
      <c r="AD7" s="377"/>
      <c r="AE7" s="377">
        <f ca="1">R33-U30</f>
        <v>0</v>
      </c>
      <c r="AF7" s="371" cm="1">
        <f t="array" ref="AF7">_xlfn.IFS($T$4="ontslag",AE7,TRUE,0)</f>
        <v>0</v>
      </c>
      <c r="AG7" s="386"/>
      <c r="AH7" s="386" t="s">
        <v>336</v>
      </c>
      <c r="AI7" s="386">
        <f ca="1">AI6/AE6</f>
        <v>0</v>
      </c>
      <c r="AJ7" s="386"/>
      <c r="AK7" s="386"/>
      <c r="AL7" s="387"/>
      <c r="AM7" s="387"/>
      <c r="AW7" s="387"/>
      <c r="AX7" s="387"/>
    </row>
    <row r="8" spans="1:124" x14ac:dyDescent="0.55000000000000004">
      <c r="M8" s="372" t="s">
        <v>261</v>
      </c>
      <c r="N8" s="373"/>
      <c r="O8" s="382" t="s">
        <v>4</v>
      </c>
      <c r="P8" s="373"/>
      <c r="Q8" s="373"/>
      <c r="R8" s="383"/>
      <c r="S8" s="373"/>
      <c r="T8" s="373"/>
      <c r="U8" s="390" t="s">
        <v>14</v>
      </c>
      <c r="V8" s="373"/>
      <c r="W8" s="373"/>
      <c r="X8" s="373"/>
      <c r="Y8" s="373"/>
      <c r="Z8" s="377" t="s">
        <v>261</v>
      </c>
      <c r="AA8" s="377"/>
      <c r="AB8" s="377" t="s">
        <v>277</v>
      </c>
      <c r="AD8" s="377"/>
      <c r="AE8" s="377">
        <f ca="1">AE7*12</f>
        <v>0</v>
      </c>
      <c r="AF8" s="371" cm="1">
        <f t="array" ref="AF8">_xlfn.IFS($T$4="ontslag",AE8,TRUE,0)</f>
        <v>0</v>
      </c>
      <c r="AG8" s="386"/>
      <c r="AH8" s="386" t="s">
        <v>33</v>
      </c>
      <c r="AI8" s="386" t="str" cm="1">
        <f t="array" aca="1" ref="AI8" ca="1">_xlfn.IFS(S4="tijduwv",(AI4*AI7)-AD23,S4="Tijdontb",(AI4*AI7)-AD23,TRUE,"")</f>
        <v/>
      </c>
      <c r="AJ8" s="386"/>
      <c r="AK8" s="386"/>
      <c r="AL8" s="387"/>
      <c r="AM8" s="387"/>
      <c r="AW8" s="387"/>
      <c r="AX8" s="387"/>
    </row>
    <row r="9" spans="1:124" x14ac:dyDescent="0.55000000000000004">
      <c r="B9" s="380" t="s">
        <v>4</v>
      </c>
      <c r="E9" s="381"/>
      <c r="H9" s="391" t="s">
        <v>14</v>
      </c>
      <c r="I9" s="387"/>
      <c r="J9" s="387"/>
      <c r="K9" s="387"/>
      <c r="L9" s="387"/>
      <c r="M9" s="372" t="s">
        <v>261</v>
      </c>
      <c r="N9" s="373"/>
      <c r="O9" s="373"/>
      <c r="P9" s="373"/>
      <c r="Q9" s="373"/>
      <c r="R9" s="373"/>
      <c r="S9" s="373"/>
      <c r="T9" s="373"/>
      <c r="U9" s="390"/>
      <c r="V9" s="389"/>
      <c r="W9" s="389"/>
      <c r="X9" s="389"/>
      <c r="Y9" s="389"/>
      <c r="Z9" s="377" t="s">
        <v>261</v>
      </c>
      <c r="AA9" s="377"/>
      <c r="AB9" s="377" t="s">
        <v>278</v>
      </c>
      <c r="AD9" s="377"/>
      <c r="AE9" s="377">
        <f ca="1">AE8/AE6</f>
        <v>0</v>
      </c>
      <c r="AF9" s="371" cm="1">
        <f t="array" ref="AF9">_xlfn.IFS($T$4="ontslag",AE9,TRUE,0)</f>
        <v>0</v>
      </c>
      <c r="AG9" s="386"/>
      <c r="AJ9" s="386"/>
      <c r="AK9" s="386"/>
      <c r="AL9" s="387"/>
      <c r="AM9" s="387"/>
      <c r="AN9" s="380"/>
    </row>
    <row r="10" spans="1:124" x14ac:dyDescent="0.55000000000000004">
      <c r="B10" s="371" t="s">
        <v>0</v>
      </c>
      <c r="E10" s="392">
        <f>J70</f>
        <v>33348</v>
      </c>
      <c r="H10" s="391"/>
      <c r="I10" s="387"/>
      <c r="J10" s="387"/>
      <c r="K10" s="387"/>
      <c r="L10" s="387"/>
      <c r="M10" s="372" t="s">
        <v>261</v>
      </c>
      <c r="N10" s="373"/>
      <c r="O10" s="373" t="s">
        <v>0</v>
      </c>
      <c r="P10" s="373"/>
      <c r="Q10" s="373"/>
      <c r="R10" s="392">
        <f>Ontslagregeling!E8</f>
        <v>36558</v>
      </c>
      <c r="S10" s="373"/>
      <c r="T10" s="383" t="s">
        <v>305</v>
      </c>
      <c r="U10" s="393" cm="1">
        <f t="array" ref="U10">_xlfn.IFS(S4="ontb",70,S4="UWV",45,S4="Ontslag",90,S4="tijdontb",70,S4="tijduwv",45,TRUE,45)</f>
        <v>45</v>
      </c>
      <c r="V10" s="389" t="s">
        <v>602</v>
      </c>
      <c r="W10" s="389"/>
      <c r="X10" s="389"/>
      <c r="Y10" s="389"/>
      <c r="Z10" s="380"/>
      <c r="AA10" s="377"/>
      <c r="AB10" s="377" t="s">
        <v>33</v>
      </c>
      <c r="AD10" s="377"/>
      <c r="AE10" s="377" t="str" cm="1">
        <f t="array" aca="1" ref="AE10" ca="1">_xlfn.IFS(T4="ontslag",AE3*AE9,TRUE,"")</f>
        <v/>
      </c>
      <c r="AF10" s="371" cm="1">
        <f t="array" ref="AF10">_xlfn.IFS($T$4="ontslag",AE10,TRUE,0)</f>
        <v>0</v>
      </c>
      <c r="AG10" s="386"/>
      <c r="AJ10" s="386"/>
      <c r="AK10" s="386"/>
      <c r="AL10" s="387"/>
      <c r="AM10" s="387"/>
      <c r="AN10" s="883"/>
      <c r="AO10" s="884"/>
      <c r="AP10" s="884"/>
      <c r="AQ10" s="884"/>
      <c r="AR10" s="884"/>
      <c r="AS10" s="884"/>
      <c r="AT10" s="884"/>
      <c r="AU10" s="884"/>
      <c r="AV10" s="884"/>
      <c r="AW10" s="884"/>
      <c r="AX10" s="884"/>
      <c r="AY10" s="884"/>
      <c r="AZ10" s="884"/>
      <c r="BA10" s="884"/>
      <c r="BB10" s="884"/>
      <c r="BC10" s="884"/>
      <c r="BD10" s="884"/>
      <c r="BE10" s="884"/>
      <c r="BF10" s="885"/>
    </row>
    <row r="11" spans="1:124" x14ac:dyDescent="0.55000000000000004">
      <c r="B11" s="371" t="s">
        <v>232</v>
      </c>
      <c r="E11" s="392" t="e">
        <f>H66</f>
        <v>#REF!</v>
      </c>
      <c r="H11" s="394" cm="1">
        <f t="array" ref="H11">_xlfn.IFS(F4=TRUE,45,F5=TRUE,70,TRUE,45)</f>
        <v>45</v>
      </c>
      <c r="I11" s="387" t="s">
        <v>602</v>
      </c>
      <c r="J11" s="387"/>
      <c r="K11" s="387"/>
      <c r="L11" s="387"/>
      <c r="M11" s="372" t="s">
        <v>261</v>
      </c>
      <c r="N11" s="373"/>
      <c r="O11" s="373" t="s">
        <v>232</v>
      </c>
      <c r="P11" s="373"/>
      <c r="Q11" s="373"/>
      <c r="R11" s="392">
        <f ca="1">T12</f>
        <v>44063</v>
      </c>
      <c r="S11" s="373" t="s">
        <v>303</v>
      </c>
      <c r="T11" s="383">
        <f ca="1">TODAY()</f>
        <v>44063</v>
      </c>
      <c r="U11" s="393">
        <f ca="1">DATEDIF(R10,R11+U10,"d")/365.33333</f>
        <v>20.666058582719515</v>
      </c>
      <c r="V11" s="389" t="s">
        <v>39</v>
      </c>
      <c r="W11" s="373"/>
      <c r="X11" s="389"/>
      <c r="Y11" s="389"/>
      <c r="Z11" s="380"/>
      <c r="AG11" s="386"/>
      <c r="AH11" s="371" t="s">
        <v>341</v>
      </c>
      <c r="AI11" s="386">
        <f ca="1">DATEDIF(R10,AI3,"d")/365.333</f>
        <v>20.542901955202513</v>
      </c>
      <c r="AJ11" s="386"/>
      <c r="AK11" s="386"/>
      <c r="AL11" s="387"/>
      <c r="AM11" s="387"/>
      <c r="AN11" s="886"/>
      <c r="AO11" s="887"/>
      <c r="AP11" s="887"/>
      <c r="AQ11" s="887"/>
      <c r="AR11" s="887"/>
      <c r="AS11" s="887"/>
      <c r="AT11" s="887"/>
      <c r="AU11" s="887"/>
      <c r="AV11" s="887"/>
      <c r="AW11" s="887"/>
      <c r="AX11" s="887"/>
      <c r="AY11" s="887"/>
      <c r="AZ11" s="887"/>
      <c r="BA11" s="887"/>
      <c r="BB11" s="887"/>
      <c r="BC11" s="887"/>
      <c r="BD11" s="887"/>
      <c r="BE11" s="887"/>
      <c r="BF11" s="888"/>
    </row>
    <row r="12" spans="1:124" x14ac:dyDescent="0.55000000000000004">
      <c r="B12" s="371" t="s">
        <v>16</v>
      </c>
      <c r="E12" s="381" t="e" cm="1">
        <f t="array" ref="E12">_xlfn.IFS(F76="Nee",(_xlfn.IFS(E16&lt;5,"1",E16&lt;10,"2",E16&lt;15,"3",E16&gt;15,"4",TRUE,"F")),TRUE,F76)</f>
        <v>#REF!</v>
      </c>
      <c r="H12" s="394" t="e">
        <f>DATEDIF(E10,E11+H11,"d")/365.33333</f>
        <v>#REF!</v>
      </c>
      <c r="I12" s="387" t="s">
        <v>39</v>
      </c>
      <c r="M12" s="372" t="s">
        <v>261</v>
      </c>
      <c r="N12" s="373"/>
      <c r="O12" s="373" t="s">
        <v>16</v>
      </c>
      <c r="P12" s="373"/>
      <c r="Q12" s="373"/>
      <c r="R12" s="383" t="str" cm="1">
        <f t="array" aca="1" ref="R12" ca="1">_xlfn.IFS(U12&lt;U13,U14,R16&lt;5,"1",R16&lt;10,"2",R16&lt;15,"3",R16&gt;15,"4",TRUE,"F")</f>
        <v>4</v>
      </c>
      <c r="S12" s="373" t="s">
        <v>304</v>
      </c>
      <c r="T12" s="383" cm="1">
        <f t="array" aca="1" ref="T12" ca="1">_xlfn.IFS(Ontslagregeling!E10=B!T11,B!T11,TRUE,Ontslagregeling!E10)</f>
        <v>44063</v>
      </c>
      <c r="U12" s="393" cm="1">
        <f t="array" aca="1" ref="U12" ca="1">_xlfn.IFS(U11&lt;5,1,U11&lt;10,2,U11&lt;15,3,U11&gt;15,4,TRUE,"F")</f>
        <v>4</v>
      </c>
      <c r="V12" s="389" t="s">
        <v>40</v>
      </c>
      <c r="W12" s="373"/>
      <c r="X12" s="373"/>
      <c r="Y12" s="373"/>
      <c r="Z12" s="380" t="s">
        <v>419</v>
      </c>
      <c r="AA12" s="377"/>
      <c r="AB12" s="380"/>
      <c r="AD12" s="377"/>
      <c r="AG12" s="386"/>
      <c r="AH12" s="386" t="s">
        <v>9</v>
      </c>
      <c r="AI12" s="386">
        <f ca="1">AI11/3</f>
        <v>6.8476339850675041</v>
      </c>
      <c r="AJ12" s="386"/>
      <c r="AK12" s="386"/>
      <c r="AL12" s="387"/>
      <c r="AM12" s="387"/>
      <c r="AO12" s="387"/>
      <c r="AP12" s="387"/>
      <c r="AQ12" s="387"/>
      <c r="AR12" s="387"/>
      <c r="AS12" s="387"/>
      <c r="AT12" s="387"/>
      <c r="AU12" s="387"/>
      <c r="AV12" s="394"/>
    </row>
    <row r="13" spans="1:124" x14ac:dyDescent="0.55000000000000004">
      <c r="E13" s="381" t="e" cm="1">
        <f t="array" ref="E13">_xlfn.IFS(F76="Nee",(_xlfn.IFS(E17&lt;5,"1",E17&lt;10,"2",E17&lt;15,"3",E17&gt;15,"4",TRUE,"F")),TRUE,F76)</f>
        <v>#REF!</v>
      </c>
      <c r="F13" s="395" t="s">
        <v>17</v>
      </c>
      <c r="H13" s="394" t="e" cm="1">
        <f t="array" ref="H13">_xlfn.IFS(H12&lt;5,"1",H12&lt;10,"2",H12&lt;15,"3",H12&gt;15,"4",TRUE,"F")</f>
        <v>#REF!</v>
      </c>
      <c r="I13" s="387" t="s">
        <v>40</v>
      </c>
      <c r="J13" s="387"/>
      <c r="K13" s="387"/>
      <c r="L13" s="387"/>
      <c r="M13" s="372" t="s">
        <v>261</v>
      </c>
      <c r="N13" s="373"/>
      <c r="O13" s="373" t="s">
        <v>328</v>
      </c>
      <c r="P13" s="373"/>
      <c r="Q13" s="373"/>
      <c r="R13" s="383" t="str" cm="1">
        <f t="array" aca="1" ref="R13" ca="1">_xlfn.IFS(U12&lt;U13,U14,R17&lt;5,"1",R17&lt;10,"2",R17&lt;15,"3",R17&gt;15,"4",TRUE,"F")</f>
        <v>4</v>
      </c>
      <c r="S13" s="373"/>
      <c r="T13" s="373" t="s">
        <v>306</v>
      </c>
      <c r="U13" s="393" cm="1">
        <f t="array" ref="U13">_xlfn.IFS(Ontslagregeling!Z32="Nee",0,TRUE,Ontslagregeling!Z32)</f>
        <v>0</v>
      </c>
      <c r="V13" s="389" t="s">
        <v>362</v>
      </c>
      <c r="W13" s="389"/>
      <c r="X13" s="389"/>
      <c r="Y13" s="389"/>
      <c r="Z13" s="396" t="str" cm="1">
        <f t="array" aca="1" ref="Z13" ca="1">_xlfn.IFS(T2&lt;=T11,"",Ontslagregeling!E8=B!AC13,"  Voer de datum in!",TRUE,"")</f>
        <v xml:space="preserve">  Voer de datum in!</v>
      </c>
      <c r="AA13" s="397"/>
      <c r="AB13" s="397"/>
      <c r="AC13" s="398">
        <v>36558</v>
      </c>
      <c r="AD13" s="377"/>
      <c r="AE13" s="377"/>
      <c r="AG13" s="386"/>
      <c r="AH13" s="386" t="s">
        <v>331</v>
      </c>
      <c r="AI13" s="386">
        <f>Ontslagregeling!Z33</f>
        <v>0</v>
      </c>
      <c r="AJ13" s="386"/>
      <c r="AK13" s="386"/>
      <c r="AN13" s="380"/>
      <c r="AV13" s="381"/>
    </row>
    <row r="14" spans="1:124" x14ac:dyDescent="0.55000000000000004">
      <c r="B14" s="371" t="s">
        <v>23</v>
      </c>
      <c r="E14" s="381" t="e">
        <f>DATE(YEAR(E11),MONTH(E11)+1+E12,1)</f>
        <v>#REF!</v>
      </c>
      <c r="H14" s="394" cm="1">
        <f t="array" ref="H14">_xlfn.IFS(F76="Nee",0,TRUE,Ontslagregeling!Z32)</f>
        <v>0</v>
      </c>
      <c r="I14" s="387" t="s">
        <v>362</v>
      </c>
      <c r="M14" s="372" t="s">
        <v>261</v>
      </c>
      <c r="N14" s="373"/>
      <c r="O14" s="373" t="s">
        <v>23</v>
      </c>
      <c r="P14" s="373"/>
      <c r="Q14" s="373"/>
      <c r="R14" s="383">
        <f ca="1">DATE(YEAR(R11),MONTH(R11)+1+R12,1)</f>
        <v>44197</v>
      </c>
      <c r="S14" s="373" t="s">
        <v>304</v>
      </c>
      <c r="T14" s="383" cm="1">
        <f t="array" aca="1" ref="T14" ca="1">_xlfn.IFS(Ontslagregeling!Y10=B!T11,B!T11,TRUE,Ontslagregeling!Y10)</f>
        <v>44063</v>
      </c>
      <c r="U14" s="393" cm="1">
        <f t="array" aca="1" ref="U14" ca="1">_xlfn.IFS(U12&lt;U13,U13,TRUE,U12)</f>
        <v>4</v>
      </c>
      <c r="V14" s="389" t="s">
        <v>361</v>
      </c>
      <c r="W14" s="389"/>
      <c r="X14" s="389"/>
      <c r="Y14" s="389"/>
      <c r="Z14" s="397" t="str" cm="1">
        <f t="array" aca="1" ref="Z14" ca="1">_xlfn.IFS(Ontslagregeling!E10=T11,"",TRUE,"  (niet vandaag)")</f>
        <v/>
      </c>
      <c r="AA14" s="398"/>
      <c r="AB14" s="398"/>
      <c r="AC14" s="398"/>
      <c r="AD14" s="377"/>
      <c r="AE14" s="377"/>
      <c r="AG14" s="386"/>
      <c r="AH14" s="386" t="s">
        <v>340</v>
      </c>
      <c r="AI14" s="386">
        <f ca="1">(AI12-(AI13*30.4167)/365.25)</f>
        <v>6.8476339850675041</v>
      </c>
      <c r="AJ14" s="386"/>
      <c r="AK14" s="386"/>
      <c r="AN14" s="883"/>
      <c r="AO14" s="884"/>
      <c r="AP14" s="884"/>
      <c r="AQ14" s="884"/>
      <c r="AR14" s="884"/>
      <c r="AS14" s="884"/>
      <c r="AT14" s="884"/>
      <c r="AU14" s="884"/>
      <c r="AV14" s="884"/>
      <c r="AW14" s="884"/>
      <c r="AX14" s="884"/>
      <c r="AY14" s="884"/>
      <c r="AZ14" s="884"/>
      <c r="BA14" s="884"/>
      <c r="BB14" s="884"/>
      <c r="BC14" s="884"/>
      <c r="BD14" s="884"/>
      <c r="BE14" s="884"/>
      <c r="BF14" s="885"/>
    </row>
    <row r="15" spans="1:124" x14ac:dyDescent="0.55000000000000004">
      <c r="B15" s="371" t="s">
        <v>24</v>
      </c>
      <c r="E15" s="381" t="e">
        <f>DATE(YEAR(H20),MONTH(H20)+1,1)</f>
        <v>#REF!</v>
      </c>
      <c r="G15" s="381"/>
      <c r="H15" s="394" t="e" cm="1">
        <f t="array" ref="H15">_xlfn.IFS(H13&lt;H14,H14,TRUE,H13)</f>
        <v>#REF!</v>
      </c>
      <c r="I15" s="387" t="s">
        <v>361</v>
      </c>
      <c r="M15" s="372" t="s">
        <v>261</v>
      </c>
      <c r="N15" s="373"/>
      <c r="O15" s="373" t="s">
        <v>24</v>
      </c>
      <c r="P15" s="373"/>
      <c r="Q15" s="373"/>
      <c r="R15" s="383">
        <f ca="1">DATE(YEAR(U19),MONTH(U19)+1,1)</f>
        <v>44228</v>
      </c>
      <c r="S15" s="373"/>
      <c r="T15" s="383" t="s">
        <v>307</v>
      </c>
      <c r="U15" s="393">
        <f ca="1">U14*30.44444</f>
        <v>121.77776</v>
      </c>
      <c r="V15" s="389" t="s">
        <v>41</v>
      </c>
      <c r="W15" s="389"/>
      <c r="X15" s="389"/>
      <c r="Y15" s="389"/>
      <c r="Z15" s="396" t="str" cm="1">
        <f t="array" aca="1" ref="Z15" ca="1">_xlfn.IFS(T2&lt;=T11,"",Ontslagregeling!E12=B!AC15,"  Voer het loon in!",TRUE,"")</f>
        <v xml:space="preserve">  Voer het loon in!</v>
      </c>
      <c r="AA15" s="397"/>
      <c r="AB15" s="397"/>
      <c r="AC15" s="397">
        <v>0</v>
      </c>
      <c r="AD15" s="377"/>
      <c r="AE15" s="377"/>
      <c r="AG15" s="386"/>
      <c r="AH15" s="386" t="s">
        <v>9</v>
      </c>
      <c r="AI15" s="386">
        <f ca="1">ROUND(AI14*R33,0)</f>
        <v>0</v>
      </c>
      <c r="AJ15" s="386"/>
      <c r="AK15" s="386"/>
      <c r="AN15" s="886"/>
      <c r="AO15" s="887"/>
      <c r="AP15" s="887"/>
      <c r="AQ15" s="887"/>
      <c r="AR15" s="887"/>
      <c r="AS15" s="887"/>
      <c r="AT15" s="887"/>
      <c r="AU15" s="887"/>
      <c r="AV15" s="887"/>
      <c r="AW15" s="887"/>
      <c r="AX15" s="887"/>
      <c r="AY15" s="887"/>
      <c r="AZ15" s="887"/>
      <c r="BA15" s="887"/>
      <c r="BB15" s="887"/>
      <c r="BC15" s="887"/>
      <c r="BD15" s="887"/>
      <c r="BE15" s="887"/>
      <c r="BF15" s="888"/>
    </row>
    <row r="16" spans="1:124" x14ac:dyDescent="0.55000000000000004">
      <c r="B16" s="387" t="s">
        <v>15</v>
      </c>
      <c r="C16" s="387"/>
      <c r="D16" s="387"/>
      <c r="E16" s="394" t="e">
        <f>DATEDIF(E10,E11,"d")/365.333333</f>
        <v>#REF!</v>
      </c>
      <c r="G16" s="381"/>
      <c r="H16" s="394" t="e">
        <f>H13*30.44444</f>
        <v>#REF!</v>
      </c>
      <c r="I16" s="387" t="s">
        <v>41</v>
      </c>
      <c r="J16" s="387"/>
      <c r="K16" s="387"/>
      <c r="L16" s="387"/>
      <c r="M16" s="372" t="s">
        <v>261</v>
      </c>
      <c r="N16" s="373"/>
      <c r="O16" s="389" t="s">
        <v>15</v>
      </c>
      <c r="P16" s="389"/>
      <c r="Q16" s="389"/>
      <c r="R16" s="393">
        <f ca="1">DATEDIF(R10,(R11-1),"d")/365.333</f>
        <v>20.540164726427669</v>
      </c>
      <c r="S16" s="373"/>
      <c r="T16" s="383" cm="1">
        <f t="array" aca="1" ref="T16" ca="1">_xlfn.IFS(S4="ontslag",_xlfn.IFS(T14&lt;T12,T14,TRUE,T12),TRUE,T12)</f>
        <v>44063</v>
      </c>
      <c r="U16" s="393" cm="1">
        <f t="array" ref="U16">_xlfn.IFS(S4="UWV",31,S4="ontb",56,S4="tijduwv",31,S4="tijdontb",56,S4="ontslag",56,TRUE,44)</f>
        <v>31</v>
      </c>
      <c r="V16" s="389" t="s">
        <v>42</v>
      </c>
      <c r="W16" s="389"/>
      <c r="X16" s="389"/>
      <c r="Y16" s="389"/>
      <c r="Z16" s="397" t="str" cm="1">
        <f t="array" ref="Z16">_xlfn.IFS(Ontslagregeling!E16="Kies een ontslagroute","Maak een keuze:",TRUE,"Keuze ontslagroute")</f>
        <v>Keuze ontslagroute</v>
      </c>
      <c r="AA16" s="397"/>
      <c r="AB16" s="397"/>
      <c r="AC16" s="397"/>
      <c r="AD16" s="377"/>
      <c r="AE16" s="377"/>
      <c r="AG16" s="386"/>
      <c r="AH16" s="386"/>
      <c r="AI16" s="386"/>
      <c r="AJ16" s="386"/>
      <c r="AK16" s="386"/>
      <c r="AN16" s="380"/>
    </row>
    <row r="17" spans="2:58" x14ac:dyDescent="0.55000000000000004">
      <c r="B17" s="387" t="s">
        <v>603</v>
      </c>
      <c r="C17" s="387"/>
      <c r="D17" s="387"/>
      <c r="E17" s="394" t="e">
        <f>DATEDIF(E10,E15,"d")/365.25</f>
        <v>#REF!</v>
      </c>
      <c r="H17" s="394" cm="1">
        <f t="array" ref="H17">_xlfn.IFS(F4=TRUE,31,F5=TRUE,56,TRUE,44)</f>
        <v>31</v>
      </c>
      <c r="I17" s="387" t="s">
        <v>42</v>
      </c>
      <c r="J17" s="387"/>
      <c r="K17" s="387"/>
      <c r="L17" s="387"/>
      <c r="M17" s="372" t="s">
        <v>261</v>
      </c>
      <c r="N17" s="373"/>
      <c r="O17" s="389" t="s">
        <v>603</v>
      </c>
      <c r="P17" s="389"/>
      <c r="Q17" s="389"/>
      <c r="R17" s="393">
        <f ca="1">DATEDIF(R10,(R15-1),"d")/365</f>
        <v>21.010958904109589</v>
      </c>
      <c r="S17" s="373"/>
      <c r="T17" s="373" t="s">
        <v>308</v>
      </c>
      <c r="U17" s="393">
        <f ca="1">U15-U16</f>
        <v>90.777760000000001</v>
      </c>
      <c r="V17" s="389" t="s">
        <v>43</v>
      </c>
      <c r="W17" s="389"/>
      <c r="X17" s="389"/>
      <c r="Y17" s="389"/>
      <c r="Z17" s="397"/>
      <c r="AA17" s="397"/>
      <c r="AB17" s="397"/>
      <c r="AC17" s="397">
        <f ca="1">T11+300</f>
        <v>44363</v>
      </c>
      <c r="AD17" s="377"/>
      <c r="AE17" s="377"/>
      <c r="AG17" s="386"/>
      <c r="AH17" s="386" t="s">
        <v>342</v>
      </c>
      <c r="AI17" s="386">
        <f ca="1">R52</f>
        <v>0</v>
      </c>
      <c r="AJ17" s="386"/>
      <c r="AK17" s="386"/>
      <c r="AN17" s="883"/>
      <c r="AO17" s="884"/>
      <c r="AP17" s="884"/>
      <c r="AQ17" s="884"/>
      <c r="AR17" s="884"/>
      <c r="AS17" s="884"/>
      <c r="AT17" s="884"/>
      <c r="AU17" s="884"/>
      <c r="AV17" s="884"/>
      <c r="AW17" s="884"/>
      <c r="AX17" s="884"/>
      <c r="AY17" s="884"/>
      <c r="AZ17" s="884"/>
      <c r="BA17" s="884"/>
      <c r="BB17" s="884"/>
      <c r="BC17" s="884"/>
      <c r="BD17" s="884"/>
      <c r="BE17" s="884"/>
      <c r="BF17" s="885"/>
    </row>
    <row r="18" spans="2:58" x14ac:dyDescent="0.55000000000000004">
      <c r="B18" s="387" t="s">
        <v>8</v>
      </c>
      <c r="C18" s="387"/>
      <c r="D18" s="387"/>
      <c r="E18" s="394" t="e">
        <f>E17/3</f>
        <v>#REF!</v>
      </c>
      <c r="H18" s="394" t="e">
        <f>H16-H17</f>
        <v>#REF!</v>
      </c>
      <c r="I18" s="387" t="s">
        <v>43</v>
      </c>
      <c r="J18" s="387"/>
      <c r="K18" s="387"/>
      <c r="L18" s="387"/>
      <c r="M18" s="372" t="s">
        <v>261</v>
      </c>
      <c r="N18" s="373"/>
      <c r="O18" s="389" t="s">
        <v>8</v>
      </c>
      <c r="P18" s="389"/>
      <c r="Q18" s="389"/>
      <c r="R18" s="393">
        <f ca="1">R17/3</f>
        <v>7.0036529680365298</v>
      </c>
      <c r="S18" s="373"/>
      <c r="T18" s="383">
        <f ca="1">DATE(YEAR(T16),MONTH(T16)+2,1)</f>
        <v>44105</v>
      </c>
      <c r="U18" s="393" cm="1">
        <f t="array" aca="1" ref="U18" ca="1">_xlfn.IFS(U17&lt;32,"31",U17&gt;31,U17,TRUE,"F")</f>
        <v>90.777760000000001</v>
      </c>
      <c r="V18" s="389" t="s">
        <v>44</v>
      </c>
      <c r="W18" s="389"/>
      <c r="X18" s="389"/>
      <c r="Y18" s="389"/>
      <c r="Z18" s="397" t="s">
        <v>261</v>
      </c>
      <c r="AA18" s="397"/>
      <c r="AB18" s="397"/>
      <c r="AC18" s="397"/>
      <c r="AD18" s="377"/>
      <c r="AE18" s="377"/>
      <c r="AG18" s="386"/>
      <c r="AH18" s="371" t="s">
        <v>345</v>
      </c>
      <c r="AI18" s="386" cm="1">
        <f t="array" aca="1" ref="AI18" ca="1">_xlfn.IFS(T12&gt;AI3,0,TRUE,DATEDIF(R11,AI3,"d")/7)</f>
        <v>0</v>
      </c>
      <c r="AJ18" s="386"/>
      <c r="AK18" s="386"/>
      <c r="AN18" s="886"/>
      <c r="AO18" s="887"/>
      <c r="AP18" s="887"/>
      <c r="AQ18" s="887"/>
      <c r="AR18" s="887"/>
      <c r="AS18" s="887"/>
      <c r="AT18" s="887"/>
      <c r="AU18" s="887"/>
      <c r="AV18" s="887"/>
      <c r="AW18" s="887"/>
      <c r="AX18" s="887"/>
      <c r="AY18" s="887"/>
      <c r="AZ18" s="887"/>
      <c r="BA18" s="887"/>
      <c r="BB18" s="887"/>
      <c r="BC18" s="887"/>
      <c r="BD18" s="887"/>
      <c r="BE18" s="887"/>
      <c r="BF18" s="888"/>
    </row>
    <row r="19" spans="2:58" x14ac:dyDescent="0.55000000000000004">
      <c r="B19" s="371" t="s">
        <v>329</v>
      </c>
      <c r="E19" s="381" t="str">
        <f>G76</f>
        <v>Nee</v>
      </c>
      <c r="H19" s="394" t="e" cm="1">
        <f t="array" ref="H19">_xlfn.IFS(H18&lt;32,"31",H18&gt;31,H18,TRUE,"F")</f>
        <v>#REF!</v>
      </c>
      <c r="I19" s="387" t="s">
        <v>44</v>
      </c>
      <c r="J19" s="387"/>
      <c r="K19" s="387"/>
      <c r="L19" s="387"/>
      <c r="M19" s="372" t="s">
        <v>261</v>
      </c>
      <c r="N19" s="373"/>
      <c r="O19" s="373" t="s">
        <v>329</v>
      </c>
      <c r="P19" s="373"/>
      <c r="Q19" s="373"/>
      <c r="R19" s="383">
        <f>Ontslagregeling!Z33</f>
        <v>0</v>
      </c>
      <c r="S19" s="373"/>
      <c r="T19" s="373"/>
      <c r="U19" s="393">
        <f ca="1">R11+U18+U10</f>
        <v>44198.777759999997</v>
      </c>
      <c r="V19" s="389" t="s">
        <v>45</v>
      </c>
      <c r="W19" s="389"/>
      <c r="X19" s="373"/>
      <c r="Y19" s="389"/>
      <c r="Z19" s="377" t="s">
        <v>261</v>
      </c>
      <c r="AA19" s="377"/>
      <c r="AB19" s="377"/>
      <c r="AC19" s="377"/>
      <c r="AD19" s="377"/>
      <c r="AE19" s="377"/>
      <c r="AG19" s="386"/>
      <c r="AH19" s="386" t="s">
        <v>343</v>
      </c>
      <c r="AI19" s="386">
        <f ca="1">(AI18/52*4*R53)*R54/20*U51</f>
        <v>0</v>
      </c>
      <c r="AJ19" s="386"/>
      <c r="AK19" s="386"/>
      <c r="AN19" s="380"/>
    </row>
    <row r="20" spans="2:58" x14ac:dyDescent="0.55000000000000004">
      <c r="B20" s="371" t="s">
        <v>330</v>
      </c>
      <c r="E20" s="381" t="e">
        <f>(E18-(E19*30.4167)/365.25)</f>
        <v>#REF!</v>
      </c>
      <c r="H20" s="394" t="e">
        <f>E11+H19+H11</f>
        <v>#REF!</v>
      </c>
      <c r="I20" s="387" t="s">
        <v>45</v>
      </c>
      <c r="J20" s="387"/>
      <c r="K20" s="387"/>
      <c r="L20" s="387"/>
      <c r="M20" s="372" t="s">
        <v>261</v>
      </c>
      <c r="N20" s="373"/>
      <c r="O20" s="373" t="s">
        <v>330</v>
      </c>
      <c r="P20" s="373"/>
      <c r="Q20" s="373"/>
      <c r="R20" s="383">
        <f ca="1">(R18-(R19*30.4167)/365.333)</f>
        <v>7.0036529680365298</v>
      </c>
      <c r="S20" s="373"/>
      <c r="T20" s="373"/>
      <c r="U20" s="393" cm="1">
        <f t="array" aca="1" ref="U20" ca="1">_xlfn.IFS(R15&gt;R14,DATEDIF(R14,R15,"m"),TRUE,0)</f>
        <v>1</v>
      </c>
      <c r="V20" s="389" t="s">
        <v>344</v>
      </c>
      <c r="W20" s="373"/>
      <c r="X20" s="389"/>
      <c r="Y20" s="389"/>
      <c r="Z20" s="377" t="s">
        <v>261</v>
      </c>
      <c r="AA20" s="377"/>
      <c r="AB20" s="377"/>
      <c r="AC20" s="377"/>
      <c r="AD20" s="377"/>
      <c r="AE20" s="377" t="s">
        <v>287</v>
      </c>
      <c r="AF20" s="371" t="s">
        <v>288</v>
      </c>
      <c r="AG20" s="386"/>
      <c r="AH20" s="386" t="s">
        <v>542</v>
      </c>
      <c r="AI20" s="386">
        <f ca="1">T11+200</f>
        <v>44263</v>
      </c>
      <c r="AJ20" s="386"/>
      <c r="AK20" s="386"/>
      <c r="AN20" s="883"/>
      <c r="AO20" s="884"/>
      <c r="AP20" s="884"/>
      <c r="AQ20" s="884"/>
      <c r="AR20" s="884"/>
      <c r="AS20" s="884"/>
      <c r="AT20" s="884"/>
      <c r="AU20" s="884"/>
      <c r="AV20" s="884"/>
      <c r="AW20" s="884"/>
      <c r="AX20" s="884"/>
      <c r="AY20" s="884"/>
      <c r="AZ20" s="884"/>
      <c r="BA20" s="884"/>
      <c r="BB20" s="884"/>
      <c r="BC20" s="884"/>
      <c r="BD20" s="884"/>
      <c r="BE20" s="884"/>
      <c r="BF20" s="885"/>
    </row>
    <row r="21" spans="2:58" x14ac:dyDescent="0.55000000000000004">
      <c r="B21" s="380" t="s">
        <v>5</v>
      </c>
      <c r="E21" s="381"/>
      <c r="H21" s="394" t="e">
        <f>DATEDIF(E14,E15,"m")</f>
        <v>#REF!</v>
      </c>
      <c r="I21" s="387" t="s">
        <v>46</v>
      </c>
      <c r="L21" s="387"/>
      <c r="M21" s="372" t="s">
        <v>261</v>
      </c>
      <c r="N21" s="373"/>
      <c r="O21" s="382" t="s">
        <v>5</v>
      </c>
      <c r="P21" s="373"/>
      <c r="Q21" s="373"/>
      <c r="R21" s="383"/>
      <c r="S21" s="373"/>
      <c r="T21" s="373"/>
      <c r="U21" s="393">
        <f ca="1">DATEDIF(R11,R15,"d")/7</f>
        <v>23.571428571428573</v>
      </c>
      <c r="V21" s="399" t="s">
        <v>47</v>
      </c>
      <c r="W21" s="373"/>
      <c r="X21" s="373"/>
      <c r="Y21" s="373"/>
      <c r="Z21" s="400" t="s">
        <v>289</v>
      </c>
      <c r="AA21" s="400"/>
      <c r="AB21" s="400"/>
      <c r="AC21" s="400"/>
      <c r="AD21" s="400">
        <f ca="1">AE3*AE9</f>
        <v>0</v>
      </c>
      <c r="AF21" s="371" cm="1">
        <f t="array" aca="1" ref="AF21" ca="1">_xlfn.IFS($S$4="ontslag",0-AD21,TRUE,0)</f>
        <v>0</v>
      </c>
      <c r="AG21" s="386"/>
      <c r="AH21" s="386" t="s">
        <v>321</v>
      </c>
      <c r="AI21" s="386" t="e">
        <f ca="1">AI8+AI15+AI17+AI19</f>
        <v>#VALUE!</v>
      </c>
      <c r="AJ21" s="386"/>
      <c r="AK21" s="386"/>
      <c r="AN21" s="886"/>
      <c r="AO21" s="887"/>
      <c r="AP21" s="887"/>
      <c r="AQ21" s="887"/>
      <c r="AR21" s="887"/>
      <c r="AS21" s="887"/>
      <c r="AT21" s="887"/>
      <c r="AU21" s="887"/>
      <c r="AV21" s="887"/>
      <c r="AW21" s="887"/>
      <c r="AX21" s="887"/>
      <c r="AY21" s="887"/>
      <c r="AZ21" s="887"/>
      <c r="BA21" s="887"/>
      <c r="BB21" s="887"/>
      <c r="BC21" s="887"/>
      <c r="BD21" s="887"/>
      <c r="BE21" s="887"/>
      <c r="BF21" s="888"/>
    </row>
    <row r="22" spans="2:58" x14ac:dyDescent="0.55000000000000004">
      <c r="B22" s="371" t="s">
        <v>22</v>
      </c>
      <c r="E22" s="392" t="e" cm="1">
        <f t="array" ref="E22">_xlfn.IFS(A74="",0,TRUE,A74)</f>
        <v>#REF!</v>
      </c>
      <c r="G22" s="387"/>
      <c r="H22" s="394" t="e">
        <f>DATEDIF(E11,E15,"d")/7</f>
        <v>#REF!</v>
      </c>
      <c r="I22" s="401" t="s">
        <v>47</v>
      </c>
      <c r="J22" s="387"/>
      <c r="K22" s="387"/>
      <c r="L22" s="387"/>
      <c r="M22" s="372" t="s">
        <v>261</v>
      </c>
      <c r="N22" s="373"/>
      <c r="O22" s="373" t="s">
        <v>22</v>
      </c>
      <c r="P22" s="373"/>
      <c r="Q22" s="373"/>
      <c r="R22" s="374" cm="1">
        <f t="array" aca="1" ref="R22" ca="1">_xlfn.IFS(T2&lt;T11,0,Ontslagregeling!E12="",0,TRUE,Ontslagregeling!E12)</f>
        <v>0</v>
      </c>
      <c r="S22" s="373"/>
      <c r="T22" s="389"/>
      <c r="U22" s="389" t="str">
        <f ca="1">TEXT(R14,"dd mmmm jjjj")</f>
        <v>01 januari 2021</v>
      </c>
      <c r="V22" s="389" t="s">
        <v>436</v>
      </c>
      <c r="W22" s="389"/>
      <c r="X22" s="389"/>
      <c r="Y22" s="373"/>
      <c r="Z22" s="400" t="s">
        <v>290</v>
      </c>
      <c r="AA22" s="400"/>
      <c r="AB22" s="400"/>
      <c r="AC22" s="400"/>
      <c r="AD22" s="400">
        <f ca="1">AF21+R52</f>
        <v>0</v>
      </c>
      <c r="AG22" s="386"/>
      <c r="AH22" s="386" t="s">
        <v>355</v>
      </c>
      <c r="AI22" s="386" t="e">
        <f ca="1">AI8+AI15+AI17+AI19+AD23</f>
        <v>#VALUE!</v>
      </c>
      <c r="AJ22" s="386"/>
      <c r="AK22" s="386"/>
    </row>
    <row r="23" spans="2:58" ht="14.4" customHeight="1" x14ac:dyDescent="0.55000000000000004">
      <c r="B23" s="371" t="s">
        <v>13</v>
      </c>
      <c r="E23" s="392" cm="1">
        <f t="array" ref="E23">_xlfn.IFS(B74="",0,TRUE,B74/100)</f>
        <v>21</v>
      </c>
      <c r="F23" s="402"/>
      <c r="G23" s="387"/>
      <c r="H23" s="394" t="e">
        <f>(E22+E24+H30+H29)*E23</f>
        <v>#REF!</v>
      </c>
      <c r="I23" s="387" t="s">
        <v>48</v>
      </c>
      <c r="J23" s="387"/>
      <c r="K23" s="387"/>
      <c r="M23" s="372" t="s">
        <v>261</v>
      </c>
      <c r="N23" s="373"/>
      <c r="O23" s="373" t="s">
        <v>13</v>
      </c>
      <c r="P23" s="373"/>
      <c r="Q23" s="373"/>
      <c r="R23" s="392" cm="1">
        <f t="array" ref="R23">_xlfn.IFS(Ontslagregeling!Z31="",0,TRUE,Ontslagregeling!Z31/100)</f>
        <v>0.08</v>
      </c>
      <c r="S23" s="403"/>
      <c r="T23" s="389"/>
      <c r="U23" s="393">
        <f ca="1">(R22+R24+U30+U29)*R23</f>
        <v>0</v>
      </c>
      <c r="V23" s="389" t="s">
        <v>48</v>
      </c>
      <c r="W23" s="389"/>
      <c r="X23" s="389"/>
      <c r="Y23" s="373"/>
      <c r="Z23" s="404" t="s">
        <v>281</v>
      </c>
      <c r="AA23" s="404"/>
      <c r="AB23" s="404"/>
      <c r="AC23" s="404"/>
      <c r="AD23" s="404">
        <f ca="1">AE5*AE9*S49</f>
        <v>0</v>
      </c>
      <c r="AE23" s="377"/>
      <c r="AF23" s="371">
        <f ca="1">0-AD23</f>
        <v>0</v>
      </c>
      <c r="AG23" s="386"/>
      <c r="AH23" s="386"/>
      <c r="AI23" s="386"/>
      <c r="AJ23" s="386"/>
      <c r="AK23" s="386"/>
      <c r="AN23" s="883"/>
      <c r="AO23" s="884"/>
      <c r="AP23" s="884"/>
      <c r="AQ23" s="884"/>
      <c r="AR23" s="884"/>
      <c r="AS23" s="884"/>
      <c r="AT23" s="884"/>
      <c r="AU23" s="884"/>
      <c r="AV23" s="884"/>
      <c r="AW23" s="884"/>
      <c r="AX23" s="884"/>
      <c r="AY23" s="884"/>
      <c r="AZ23" s="884"/>
      <c r="BA23" s="884"/>
      <c r="BB23" s="884"/>
      <c r="BC23" s="884"/>
      <c r="BD23" s="884"/>
      <c r="BE23" s="884"/>
      <c r="BF23" s="885"/>
    </row>
    <row r="24" spans="2:58" x14ac:dyDescent="0.55000000000000004">
      <c r="B24" s="371" t="s">
        <v>12</v>
      </c>
      <c r="E24" s="392" cm="1">
        <f t="array" ref="E24">_xlfn.IFS(C74="",0,TRUE,C74)</f>
        <v>8</v>
      </c>
      <c r="F24" s="387"/>
      <c r="G24" s="387"/>
      <c r="H24" s="387"/>
      <c r="I24" s="387"/>
      <c r="J24" s="387"/>
      <c r="K24" s="387"/>
      <c r="M24" s="372" t="s">
        <v>261</v>
      </c>
      <c r="N24" s="373"/>
      <c r="O24" s="373" t="s">
        <v>753</v>
      </c>
      <c r="P24" s="373"/>
      <c r="Q24" s="373"/>
      <c r="R24" s="374" cm="1">
        <f t="array" aca="1" ref="R24" ca="1">_xlfn.IFS(T2&lt;T11,0,Ontslagregeling!I33="",0,TRUE,Ontslagregeling!I33)</f>
        <v>0</v>
      </c>
      <c r="S24" s="389"/>
      <c r="T24" s="389"/>
      <c r="U24" s="393" cm="1">
        <f t="array" aca="1" ref="U24" ca="1">_xlfn.IFS(R16&gt;1,R24/12,R16&lt;1,R24/(R16*12),TRUE,R24/12)</f>
        <v>0</v>
      </c>
      <c r="V24" s="389"/>
      <c r="W24" s="389"/>
      <c r="X24" s="389"/>
      <c r="Y24" s="373"/>
      <c r="Z24" s="404" t="s">
        <v>322</v>
      </c>
      <c r="AA24" s="404"/>
      <c r="AB24" s="404"/>
      <c r="AC24" s="404"/>
      <c r="AD24" s="404">
        <f ca="1">AD23+R44</f>
        <v>0</v>
      </c>
      <c r="AE24" s="377"/>
      <c r="AF24" s="371" t="str" cm="1">
        <f t="array" aca="1" ref="AF24" ca="1">_xlfn.IFS($S$4="ontslag",AF23+AD22,TRUE,"")</f>
        <v/>
      </c>
      <c r="AG24" s="386" t="s">
        <v>354</v>
      </c>
      <c r="AH24" s="386"/>
      <c r="AI24" s="386"/>
      <c r="AJ24" s="386"/>
      <c r="AK24" s="386"/>
      <c r="AO24" s="405"/>
      <c r="AP24" s="405"/>
      <c r="AQ24" s="405"/>
      <c r="AR24" s="405"/>
      <c r="AS24" s="405"/>
      <c r="AT24" s="405"/>
      <c r="AU24" s="405"/>
      <c r="AV24" s="405"/>
      <c r="AW24" s="405"/>
      <c r="AX24" s="405"/>
      <c r="AY24" s="405"/>
      <c r="AZ24" s="405"/>
      <c r="BA24" s="405"/>
      <c r="BB24" s="405"/>
      <c r="BC24" s="405"/>
      <c r="BD24" s="405"/>
      <c r="BE24" s="405"/>
      <c r="BF24" s="406"/>
    </row>
    <row r="25" spans="2:58" x14ac:dyDescent="0.55000000000000004">
      <c r="B25" s="371" t="s">
        <v>1</v>
      </c>
      <c r="E25" s="392" cm="1">
        <f t="array" ref="E25">_xlfn.IFS(D74="",0,TRUE,D74)</f>
        <v>250</v>
      </c>
      <c r="F25" s="387"/>
      <c r="G25" s="387"/>
      <c r="H25" s="394">
        <f>E25/12</f>
        <v>20.833333333333332</v>
      </c>
      <c r="I25" s="387" t="s">
        <v>49</v>
      </c>
      <c r="J25" s="387"/>
      <c r="K25" s="387"/>
      <c r="M25" s="372" t="s">
        <v>261</v>
      </c>
      <c r="N25" s="373"/>
      <c r="O25" s="373" t="s">
        <v>1</v>
      </c>
      <c r="P25" s="373"/>
      <c r="Q25" s="373"/>
      <c r="R25" s="392" cm="1">
        <f t="array" ref="R25">_xlfn.IFS(Ontslagregeling!I31="",0,TRUE,Ontslagregeling!I31)</f>
        <v>0</v>
      </c>
      <c r="S25" s="389"/>
      <c r="T25" s="389"/>
      <c r="U25" s="393">
        <f>R25/12</f>
        <v>0</v>
      </c>
      <c r="V25" s="389" t="s">
        <v>49</v>
      </c>
      <c r="W25" s="389"/>
      <c r="X25" s="389"/>
      <c r="Y25" s="373"/>
      <c r="Z25" s="404" t="s">
        <v>280</v>
      </c>
      <c r="AA25" s="404"/>
      <c r="AB25" s="404"/>
      <c r="AC25" s="404"/>
      <c r="AD25" s="404">
        <f ca="1">R49</f>
        <v>0</v>
      </c>
      <c r="AE25" s="377"/>
      <c r="AG25" s="386"/>
      <c r="AH25" s="386"/>
      <c r="AI25" s="386"/>
      <c r="AJ25" s="386"/>
      <c r="AK25" s="386"/>
    </row>
    <row r="26" spans="2:58" x14ac:dyDescent="0.55000000000000004">
      <c r="B26" s="371" t="s">
        <v>3</v>
      </c>
      <c r="E26" s="392" cm="1">
        <f t="array" ref="E26">_xlfn.IFS(E74="",0,TRUE,E74)</f>
        <v>2100</v>
      </c>
      <c r="F26" s="387"/>
      <c r="G26" s="387"/>
      <c r="H26" s="394">
        <f>E26/12</f>
        <v>175</v>
      </c>
      <c r="I26" s="387" t="s">
        <v>50</v>
      </c>
      <c r="J26" s="387"/>
      <c r="K26" s="387"/>
      <c r="M26" s="372" t="s">
        <v>261</v>
      </c>
      <c r="N26" s="373"/>
      <c r="O26" s="373" t="s">
        <v>3</v>
      </c>
      <c r="P26" s="373"/>
      <c r="Q26" s="373"/>
      <c r="R26" s="392" cm="1">
        <f t="array" ref="R26">_xlfn.IFS(Ontslagregeling!I32="",0,TRUE,Ontslagregeling!I32)</f>
        <v>0</v>
      </c>
      <c r="S26" s="389"/>
      <c r="T26" s="389"/>
      <c r="U26" s="393">
        <f>R26/12</f>
        <v>0</v>
      </c>
      <c r="V26" s="389" t="s">
        <v>50</v>
      </c>
      <c r="W26" s="389"/>
      <c r="X26" s="389"/>
      <c r="Y26" s="373"/>
      <c r="Z26" s="404" t="s">
        <v>283</v>
      </c>
      <c r="AA26" s="404"/>
      <c r="AB26" s="404"/>
      <c r="AC26" s="404"/>
      <c r="AD26" s="407">
        <f ca="1">R44+AD25</f>
        <v>0</v>
      </c>
      <c r="AE26" s="377"/>
      <c r="AG26" s="386"/>
      <c r="AH26" s="386"/>
      <c r="AI26" s="386"/>
      <c r="AJ26" s="386"/>
      <c r="AK26" s="386"/>
      <c r="AN26" s="380"/>
    </row>
    <row r="27" spans="2:58" x14ac:dyDescent="0.55000000000000004">
      <c r="E27" s="381"/>
      <c r="F27" s="387"/>
      <c r="G27" s="387"/>
      <c r="H27" s="387"/>
      <c r="I27" s="387"/>
      <c r="J27" s="387"/>
      <c r="K27" s="387"/>
      <c r="M27" s="372" t="s">
        <v>261</v>
      </c>
      <c r="N27" s="373"/>
      <c r="O27" s="373"/>
      <c r="P27" s="373"/>
      <c r="Q27" s="373"/>
      <c r="R27" s="383"/>
      <c r="S27" s="389"/>
      <c r="T27" s="389"/>
      <c r="U27" s="389"/>
      <c r="V27" s="389"/>
      <c r="W27" s="389"/>
      <c r="X27" s="389"/>
      <c r="Y27" s="373"/>
      <c r="Z27" s="404" t="s">
        <v>604</v>
      </c>
      <c r="AA27" s="404"/>
      <c r="AB27" s="404"/>
      <c r="AC27" s="404"/>
      <c r="AD27" s="404">
        <f ca="1">AD26+R56</f>
        <v>0</v>
      </c>
      <c r="AE27" s="377"/>
      <c r="AG27" s="386"/>
      <c r="AH27" s="386"/>
      <c r="AI27" s="386"/>
      <c r="AJ27" s="386"/>
      <c r="AK27" s="386"/>
      <c r="AN27" s="883"/>
      <c r="AO27" s="884"/>
      <c r="AP27" s="884"/>
      <c r="AQ27" s="884"/>
      <c r="AR27" s="884"/>
      <c r="AS27" s="884"/>
      <c r="AT27" s="884"/>
      <c r="AU27" s="884"/>
      <c r="AV27" s="884"/>
      <c r="AW27" s="884"/>
      <c r="AX27" s="884"/>
      <c r="AY27" s="884"/>
      <c r="AZ27" s="884"/>
      <c r="BA27" s="884"/>
      <c r="BB27" s="884"/>
      <c r="BC27" s="884"/>
      <c r="BD27" s="884"/>
      <c r="BE27" s="884"/>
      <c r="BF27" s="885"/>
    </row>
    <row r="28" spans="2:58" x14ac:dyDescent="0.55000000000000004">
      <c r="B28" s="380" t="s">
        <v>6</v>
      </c>
      <c r="E28" s="381"/>
      <c r="F28" s="387"/>
      <c r="G28" s="387"/>
      <c r="H28" s="387"/>
      <c r="I28" s="387"/>
      <c r="J28" s="387"/>
      <c r="K28" s="387"/>
      <c r="M28" s="372" t="s">
        <v>261</v>
      </c>
      <c r="N28" s="373"/>
      <c r="O28" s="382" t="s">
        <v>6</v>
      </c>
      <c r="P28" s="373"/>
      <c r="Q28" s="373"/>
      <c r="R28" s="383"/>
      <c r="S28" s="389"/>
      <c r="T28" s="389"/>
      <c r="U28" s="389"/>
      <c r="V28" s="389"/>
      <c r="W28" s="389"/>
      <c r="X28" s="389"/>
      <c r="Y28" s="373"/>
      <c r="Z28" s="404" t="s">
        <v>291</v>
      </c>
      <c r="AA28" s="408"/>
      <c r="AB28" s="408"/>
      <c r="AC28" s="408"/>
      <c r="AD28" s="409">
        <f ca="1">ROUND(AD27+R45+R46+R62,0)</f>
        <v>0</v>
      </c>
      <c r="AE28" s="377"/>
      <c r="AG28" s="386"/>
      <c r="AH28" s="386"/>
      <c r="AI28" s="386"/>
      <c r="AJ28" s="386"/>
      <c r="AK28" s="386"/>
      <c r="AN28" s="886"/>
      <c r="AO28" s="887"/>
      <c r="AP28" s="887"/>
      <c r="AQ28" s="887"/>
      <c r="AR28" s="887"/>
      <c r="AS28" s="887"/>
      <c r="AT28" s="887"/>
      <c r="AU28" s="887"/>
      <c r="AV28" s="887"/>
      <c r="AW28" s="887"/>
      <c r="AX28" s="887"/>
      <c r="AY28" s="887"/>
      <c r="AZ28" s="887"/>
      <c r="BA28" s="887"/>
      <c r="BB28" s="887"/>
      <c r="BC28" s="887"/>
      <c r="BD28" s="887"/>
      <c r="BE28" s="887"/>
      <c r="BF28" s="888"/>
    </row>
    <row r="29" spans="2:58" x14ac:dyDescent="0.55000000000000004">
      <c r="B29" s="377" t="s">
        <v>69</v>
      </c>
      <c r="E29" s="392" cm="1">
        <f t="array" ref="E29">_xlfn.IFS(F74="",0,TRUE,F74)</f>
        <v>0</v>
      </c>
      <c r="F29" s="387"/>
      <c r="G29" s="387"/>
      <c r="H29" s="394" t="e" cm="1">
        <f t="array" ref="H29">_xlfn.IFS(E16&gt;3,E29/36,E16&lt;3,E29/(E16*12),TRUE,E30/36)</f>
        <v>#REF!</v>
      </c>
      <c r="I29" s="387" t="s">
        <v>51</v>
      </c>
      <c r="J29" s="387"/>
      <c r="K29" s="387"/>
      <c r="M29" s="372" t="s">
        <v>261</v>
      </c>
      <c r="N29" s="373"/>
      <c r="O29" s="410" t="s">
        <v>754</v>
      </c>
      <c r="P29" s="373"/>
      <c r="Q29" s="373"/>
      <c r="R29" s="392" cm="1">
        <f t="array" ref="R29">_xlfn.IFS(Ontslagregeling!I35="",0,TRUE,Ontslagregeling!I35)</f>
        <v>0</v>
      </c>
      <c r="S29" s="389"/>
      <c r="T29" s="389"/>
      <c r="U29" s="393" cm="1">
        <f t="array" aca="1" ref="U29" ca="1">_xlfn.IFS(R16&gt;3,R29/36,R16&lt;3,R29/(R16*12),TRUE,R29/36)</f>
        <v>0</v>
      </c>
      <c r="V29" s="389" t="s">
        <v>51</v>
      </c>
      <c r="W29" s="389"/>
      <c r="X29" s="389"/>
      <c r="Y29" s="373"/>
      <c r="Z29" s="404" t="s">
        <v>282</v>
      </c>
      <c r="AA29" s="404"/>
      <c r="AB29" s="404"/>
      <c r="AC29" s="404"/>
      <c r="AD29" s="404">
        <f ca="1">AD23+AD25</f>
        <v>0</v>
      </c>
      <c r="AG29" s="386"/>
      <c r="AH29" s="404"/>
      <c r="AI29" s="404"/>
      <c r="AJ29" s="404"/>
      <c r="AK29" s="404"/>
    </row>
    <row r="30" spans="2:58" x14ac:dyDescent="0.55000000000000004">
      <c r="B30" s="371" t="s">
        <v>70</v>
      </c>
      <c r="E30" s="392" cm="1">
        <f t="array" ref="E30">_xlfn.IFS(G74="",0,TRUE,G74)</f>
        <v>2883</v>
      </c>
      <c r="F30" s="387"/>
      <c r="G30" s="387"/>
      <c r="H30" s="394" t="e" cm="1">
        <f t="array" ref="H30">_xlfn.IFS(E16&gt;3,E30/36,E16&lt;3,E30/(E16*12),TRUE,E30/36)</f>
        <v>#REF!</v>
      </c>
      <c r="I30" s="387" t="s">
        <v>52</v>
      </c>
      <c r="J30" s="387"/>
      <c r="K30" s="387"/>
      <c r="M30" s="372" t="s">
        <v>261</v>
      </c>
      <c r="N30" s="373"/>
      <c r="O30" s="373" t="s">
        <v>755</v>
      </c>
      <c r="P30" s="373"/>
      <c r="Q30" s="373"/>
      <c r="R30" s="392" cm="1">
        <f t="array" ref="R30">_xlfn.IFS(Ontslagregeling!I34="",0,TRUE,Ontslagregeling!I34)</f>
        <v>0</v>
      </c>
      <c r="S30" s="389"/>
      <c r="T30" s="389"/>
      <c r="U30" s="393" cm="1">
        <f t="array" aca="1" ref="U30" ca="1">_xlfn.IFS(R16&gt;1,R30/12,R16&lt;1,R30/(R16*12),TRUE,R30/12)</f>
        <v>0</v>
      </c>
      <c r="V30" s="389" t="s">
        <v>52</v>
      </c>
      <c r="W30" s="389"/>
      <c r="X30" s="389"/>
      <c r="Y30" s="373"/>
      <c r="Z30" s="404" t="s">
        <v>285</v>
      </c>
      <c r="AA30" s="404"/>
      <c r="AB30" s="404"/>
      <c r="AC30" s="404"/>
      <c r="AD30" s="404">
        <f ca="1">AD29+R36</f>
        <v>0</v>
      </c>
      <c r="AE30" s="377"/>
      <c r="AG30" s="386"/>
      <c r="AH30" s="386"/>
      <c r="AI30" s="386"/>
      <c r="AJ30" s="386"/>
      <c r="AK30" s="386"/>
    </row>
    <row r="31" spans="2:58" x14ac:dyDescent="0.55000000000000004">
      <c r="B31" s="371" t="s">
        <v>71</v>
      </c>
      <c r="E31" s="392" cm="1">
        <f t="array" ref="E31">_xlfn.IFS(H74="",0,TRUE,H74)</f>
        <v>18983</v>
      </c>
      <c r="F31" s="387"/>
      <c r="G31" s="387"/>
      <c r="H31" s="394" t="e" cm="1">
        <f t="array" ref="H31">_xlfn.IFS(E16&gt;3,E31/36,E16&lt;3,E31/(E16*12),TRUE,E31/36)</f>
        <v>#REF!</v>
      </c>
      <c r="I31" s="387" t="s">
        <v>53</v>
      </c>
      <c r="J31" s="387"/>
      <c r="K31" s="387"/>
      <c r="M31" s="372" t="s">
        <v>261</v>
      </c>
      <c r="N31" s="373"/>
      <c r="O31" s="373" t="s">
        <v>71</v>
      </c>
      <c r="P31" s="373"/>
      <c r="Q31" s="373"/>
      <c r="R31" s="392" cm="1">
        <f t="array" ref="R31">_xlfn.IFS(Ontslagregeling!I36="",0,TRUE,Ontslagregeling!I36)</f>
        <v>0</v>
      </c>
      <c r="S31" s="389"/>
      <c r="T31" s="389"/>
      <c r="U31" s="393" cm="1">
        <f t="array" aca="1" ref="U31" ca="1">_xlfn.IFS(R16&gt;3,R31/36,R16&lt;3,R31/(R16*12),TRUE,R31/36)</f>
        <v>0</v>
      </c>
      <c r="V31" s="389" t="s">
        <v>53</v>
      </c>
      <c r="W31" s="389"/>
      <c r="X31" s="389"/>
      <c r="Y31" s="373"/>
      <c r="Z31" s="404" t="s">
        <v>286</v>
      </c>
      <c r="AA31" s="404"/>
      <c r="AB31" s="404"/>
      <c r="AC31" s="404"/>
      <c r="AD31" s="404">
        <f ca="1">AD30+R56</f>
        <v>0</v>
      </c>
      <c r="AE31" s="377"/>
      <c r="AG31" s="386"/>
      <c r="AH31" s="386"/>
      <c r="AI31" s="386"/>
      <c r="AJ31" s="386"/>
      <c r="AK31" s="386"/>
    </row>
    <row r="32" spans="2:58" x14ac:dyDescent="0.55000000000000004">
      <c r="E32" s="381"/>
      <c r="M32" s="372" t="s">
        <v>261</v>
      </c>
      <c r="N32" s="373"/>
      <c r="O32" s="373"/>
      <c r="P32" s="373"/>
      <c r="Q32" s="373"/>
      <c r="R32" s="383"/>
      <c r="S32" s="373"/>
      <c r="T32" s="373"/>
      <c r="U32" s="373"/>
      <c r="V32" s="373"/>
      <c r="W32" s="373"/>
      <c r="X32" s="373"/>
      <c r="Y32" s="373"/>
      <c r="Z32" s="404" t="s">
        <v>323</v>
      </c>
      <c r="AA32" s="404"/>
      <c r="AB32" s="404"/>
      <c r="AC32" s="404"/>
      <c r="AD32" s="404">
        <f ca="1">AD31+R45+R46+R62</f>
        <v>0</v>
      </c>
      <c r="AE32" s="377"/>
      <c r="AG32" s="386"/>
      <c r="AH32" s="386"/>
      <c r="AI32" s="386"/>
      <c r="AJ32" s="386"/>
      <c r="AK32" s="386"/>
    </row>
    <row r="33" spans="1:40" x14ac:dyDescent="0.55000000000000004">
      <c r="B33" s="371" t="s">
        <v>11</v>
      </c>
      <c r="E33" s="381" t="e">
        <f>E22+H23+H25+H26+E24+H29+H30+H31</f>
        <v>#REF!</v>
      </c>
      <c r="M33" s="372" t="s">
        <v>261</v>
      </c>
      <c r="N33" s="373"/>
      <c r="O33" s="373" t="s">
        <v>11</v>
      </c>
      <c r="P33" s="373"/>
      <c r="Q33" s="373"/>
      <c r="R33" s="383" cm="1">
        <f t="array" aca="1" ref="R33" ca="1">_xlfn.IFS(T2&lt;T11,0,TRUE,R22+U23+U25+U26+U24+U29+U30+U31)</f>
        <v>0</v>
      </c>
      <c r="S33" s="383">
        <f ca="1">ROUND(R33*12,0)</f>
        <v>0</v>
      </c>
      <c r="T33" s="373" t="s">
        <v>544</v>
      </c>
      <c r="U33" s="373"/>
      <c r="V33" s="373"/>
      <c r="W33" s="373"/>
      <c r="X33" s="373"/>
      <c r="Y33" s="373"/>
      <c r="Z33" s="380" t="s">
        <v>295</v>
      </c>
      <c r="AA33" s="377"/>
      <c r="AB33" s="377"/>
      <c r="AC33" s="377"/>
      <c r="AD33" s="377"/>
      <c r="AE33" s="377"/>
      <c r="AG33" s="386"/>
      <c r="AH33" s="386"/>
      <c r="AI33" s="411" t="s">
        <v>537</v>
      </c>
      <c r="AJ33" s="386"/>
      <c r="AK33" s="411" t="s">
        <v>538</v>
      </c>
      <c r="AM33" s="380" t="s">
        <v>539</v>
      </c>
      <c r="AN33" s="408" cm="1">
        <f t="array" ref="AN33">_xlfn.IFS(Ontslagregeling!E8=36558,0,TRUE,1)</f>
        <v>0</v>
      </c>
    </row>
    <row r="34" spans="1:40" x14ac:dyDescent="0.55000000000000004">
      <c r="M34" s="372" t="s">
        <v>261</v>
      </c>
      <c r="N34" s="373"/>
      <c r="O34" s="373" t="s">
        <v>273</v>
      </c>
      <c r="P34" s="373"/>
      <c r="Q34" s="373"/>
      <c r="R34" s="383">
        <f ca="1">(R33+R60)*12*S49</f>
        <v>0</v>
      </c>
      <c r="S34" s="373"/>
      <c r="T34" s="373"/>
      <c r="U34" s="373"/>
      <c r="V34" s="373"/>
      <c r="W34" s="373"/>
      <c r="X34" s="373"/>
      <c r="Y34" s="373"/>
      <c r="Z34" s="371" t="str" cm="1">
        <f t="array" ref="Z34">_xlfn.IFS(AN33=0,"",$S$4="ontslag","Ontslagdatum",$S$4="tijduwv","Einde contract",$S$4="tijdontb","Einde contract",TRUE,"")</f>
        <v/>
      </c>
      <c r="AA34" s="377" t="s">
        <v>433</v>
      </c>
      <c r="AB34" s="377"/>
      <c r="AD34" s="377"/>
      <c r="AE34" s="377"/>
      <c r="AG34" s="386"/>
      <c r="AH34" s="386"/>
      <c r="AI34" s="386" t="str" cm="1">
        <f t="array" ref="AI34">_xlfn.IFS(AN33=0,"",TRUE,"Vaststellingsovereenkomst")</f>
        <v/>
      </c>
      <c r="AJ34" s="386"/>
    </row>
    <row r="35" spans="1:40" x14ac:dyDescent="0.55000000000000004">
      <c r="B35" s="380" t="s">
        <v>9</v>
      </c>
      <c r="E35" s="381"/>
      <c r="M35" s="372" t="s">
        <v>261</v>
      </c>
      <c r="N35" s="373"/>
      <c r="O35" s="410" t="s">
        <v>359</v>
      </c>
      <c r="P35" s="373"/>
      <c r="Q35" s="373"/>
      <c r="R35" s="383">
        <f ca="1">R34/12</f>
        <v>0</v>
      </c>
      <c r="S35" s="373"/>
      <c r="T35" s="373"/>
      <c r="U35" s="373"/>
      <c r="V35" s="373"/>
      <c r="W35" s="373"/>
      <c r="X35" s="373"/>
      <c r="Y35" s="373"/>
      <c r="Z35" s="371" t="str" cm="1">
        <f t="array" ref="Z35">_xlfn.IFS(AN33=0,"",$S$4="ontslag","Ontslag op staande voet",$S$4="tijduwv","Einde tijdelijk contract",$S$4="tijdontb","Einde tijdelijk contract",TRUE,"")</f>
        <v/>
      </c>
      <c r="AA35" s="371" t="s">
        <v>301</v>
      </c>
      <c r="AE35" s="377"/>
      <c r="AG35" s="386"/>
      <c r="AH35" s="386"/>
      <c r="AI35" s="386" t="str" cm="1">
        <f t="array" ref="AI35">_xlfn.IFS(AN33=0,"",TRUE,"Standaard/minimum")</f>
        <v/>
      </c>
      <c r="AJ35" s="386"/>
    </row>
    <row r="36" spans="1:40" x14ac:dyDescent="0.55000000000000004">
      <c r="B36" s="377" t="s">
        <v>9</v>
      </c>
      <c r="E36" s="412" t="e">
        <f>ROUND(E20*E33,0)</f>
        <v>#REF!</v>
      </c>
      <c r="F36" s="395"/>
      <c r="G36" s="387"/>
      <c r="H36" s="387"/>
      <c r="M36" s="372" t="s">
        <v>261</v>
      </c>
      <c r="N36" s="373"/>
      <c r="O36" s="410" t="s">
        <v>9</v>
      </c>
      <c r="P36" s="373"/>
      <c r="Q36" s="373"/>
      <c r="R36" s="413">
        <f ca="1">ROUND(R20*R33,0)</f>
        <v>0</v>
      </c>
      <c r="S36" s="414">
        <f ca="1">R20*R33</f>
        <v>0</v>
      </c>
      <c r="T36" s="373"/>
      <c r="U36" s="373"/>
      <c r="V36" s="373"/>
      <c r="W36" s="373"/>
      <c r="X36" s="373"/>
      <c r="Y36" s="373"/>
      <c r="Z36" s="371" t="str" cm="1">
        <f t="array" ref="Z36">_xlfn.IFS(AN33=0,"",$S$4="ontslag","Direct",TRUE,"")</f>
        <v/>
      </c>
      <c r="AA36" s="371" t="s">
        <v>302</v>
      </c>
      <c r="AD36" s="371" t="str" cm="1">
        <f t="array" ref="AD36">_xlfn.IFS(AN33=0,"",$S$4="tijduwv","n.v.t.",$S$4="tijdontb","n.v.t.",TRUE,"")</f>
        <v/>
      </c>
      <c r="AE36" s="377" t="s">
        <v>347</v>
      </c>
      <c r="AG36" s="386"/>
      <c r="AH36" s="386"/>
      <c r="AI36" s="402" t="str" cm="1">
        <f t="array" ref="AI36">_xlfn.IFS(AN33=0,"",TRUE,"UWV-ontslag")</f>
        <v/>
      </c>
      <c r="AJ36" s="386"/>
    </row>
    <row r="37" spans="1:40" x14ac:dyDescent="0.55000000000000004">
      <c r="E37" s="381"/>
      <c r="F37" s="387"/>
      <c r="G37" s="387"/>
      <c r="H37" s="387"/>
      <c r="M37" s="372" t="s">
        <v>261</v>
      </c>
      <c r="N37" s="373"/>
      <c r="O37" s="382" t="s">
        <v>543</v>
      </c>
      <c r="P37" s="373"/>
      <c r="Q37" s="373"/>
      <c r="R37" s="415" cm="1">
        <f t="array" aca="1" ref="R37" ca="1">_xlfn.IFS(S33&lt;83000,_xlfn.IFS(R36&lt;83000,R36,TRUE,83000),TRUE,_xlfn.IFS(R36&lt;S33,R36,TRUE,S33))</f>
        <v>0</v>
      </c>
      <c r="S37" s="389"/>
      <c r="T37" s="373"/>
      <c r="U37" s="389"/>
      <c r="V37" s="373"/>
      <c r="W37" s="373"/>
      <c r="X37" s="373"/>
      <c r="Y37" s="373"/>
      <c r="Z37" s="381" t="str" cm="1">
        <f t="array" ref="Z37">_xlfn.IFS(AN33=0,"",$S$4="ontslag",T11,TRUE,"")</f>
        <v/>
      </c>
      <c r="AA37" s="371" t="s">
        <v>346</v>
      </c>
      <c r="AD37" s="381" cm="1">
        <f t="array" aca="1" ref="AD37" ca="1">_xlfn.IFS($S$4="tijduwv",Ontslagregeling!Z10,$S$4="tijdontb",Ontslagregeling!Z10,TRUE,T11)</f>
        <v>44063</v>
      </c>
      <c r="AE37" s="377" t="s">
        <v>337</v>
      </c>
      <c r="AG37" s="386"/>
      <c r="AH37" s="386"/>
      <c r="AI37" s="386" t="str" cm="1">
        <f t="array" ref="AI37">_xlfn.IFS(AN33=0,"",TRUE,"Opzegtermijn")</f>
        <v/>
      </c>
      <c r="AJ37" s="386"/>
      <c r="AK37" s="371" t="str" cm="1">
        <f t="array" ref="AK37">_xlfn.IFS(AN33=0,"",TRUE,U14)</f>
        <v/>
      </c>
      <c r="AL37" s="371" t="str" cm="1">
        <f t="array" ref="AL37">_xlfn.IFS(AN33=0,"",TRUE,_xlfn.IFS(V14=1,"maand",TRUE,"maanden"))</f>
        <v/>
      </c>
      <c r="AM37" s="371" t="s">
        <v>590</v>
      </c>
      <c r="AN37" s="371" t="s">
        <v>598</v>
      </c>
    </row>
    <row r="38" spans="1:40" ht="18.3" x14ac:dyDescent="0.7">
      <c r="B38" s="416" t="s">
        <v>72</v>
      </c>
      <c r="E38" s="381"/>
      <c r="F38" s="387"/>
      <c r="G38" s="387"/>
      <c r="H38" s="394" t="s">
        <v>60</v>
      </c>
      <c r="I38" s="387"/>
      <c r="J38" s="394" t="s">
        <v>60</v>
      </c>
      <c r="K38" s="394"/>
      <c r="L38" s="387"/>
      <c r="M38" s="372" t="s">
        <v>261</v>
      </c>
      <c r="N38" s="373"/>
      <c r="O38" s="417" t="s">
        <v>72</v>
      </c>
      <c r="P38" s="373"/>
      <c r="Q38" s="373"/>
      <c r="R38" s="383"/>
      <c r="S38" s="389"/>
      <c r="T38" s="389"/>
      <c r="U38" s="393"/>
      <c r="V38" s="389"/>
      <c r="W38" s="393"/>
      <c r="X38" s="393"/>
      <c r="Y38" s="389"/>
      <c r="Z38" s="371" t="str" cm="1">
        <f t="array" ref="Z38">_xlfn.IFS(AN33=0,"",$S$4="ontslag",AF21,TRUE,"")</f>
        <v/>
      </c>
      <c r="AA38" s="371" t="s">
        <v>298</v>
      </c>
      <c r="AD38" s="377"/>
      <c r="AE38" s="377"/>
      <c r="AG38" s="386"/>
      <c r="AH38" s="386"/>
      <c r="AI38" s="386" t="str" cm="1">
        <f t="array" ref="AI38">_xlfn.IFS(AN33=0,"",TRUE,"Datum uit dienst")</f>
        <v/>
      </c>
      <c r="AJ38" s="386"/>
      <c r="AK38" s="386" t="str" cm="1">
        <f t="array" ref="AK38">_xlfn.IFS(AN33=0,"",TRUE,R14)</f>
        <v/>
      </c>
      <c r="AL38" s="386" t="str" cm="1">
        <f t="array" ref="AL38">_xlfn.IFS(AN33=0,"",TRUE,R15)</f>
        <v/>
      </c>
      <c r="AM38" s="371" t="str">
        <f>TEXT(AK38,"dd mmmm jjjj")</f>
        <v/>
      </c>
      <c r="AN38" s="371" t="str" cm="1">
        <f t="array" ref="AN38">_xlfn.IFS(AN33=0,"",TRUE,"(incl. proceduretijd)")</f>
        <v/>
      </c>
    </row>
    <row r="39" spans="1:40" x14ac:dyDescent="0.55000000000000004">
      <c r="H39" s="394" t="s">
        <v>61</v>
      </c>
      <c r="I39" s="387"/>
      <c r="J39" s="394" t="s">
        <v>61</v>
      </c>
      <c r="K39" s="394"/>
      <c r="L39" s="387"/>
      <c r="M39" s="372" t="s">
        <v>261</v>
      </c>
      <c r="N39" s="373"/>
      <c r="O39" s="418" t="str" cm="1">
        <f t="array" ref="O39">_xlfn.IFS(S4=TRUE,"",T5=TRUE,"Hoe sterk is de ontslagzaak bij de kantonrechter? ",TRUE,"Maak een keuze bij Ontslagsituatie!")</f>
        <v>Maak een keuze bij Ontslagsituatie!</v>
      </c>
      <c r="P39" s="373"/>
      <c r="Q39" s="373"/>
      <c r="R39" s="419" t="s">
        <v>265</v>
      </c>
      <c r="S39" s="373" cm="1">
        <f t="array" ref="S39">_xlfn.IFS(S4="UWV",8,TRUE,0)</f>
        <v>8</v>
      </c>
      <c r="T39" s="373"/>
      <c r="U39" s="393"/>
      <c r="V39" s="389"/>
      <c r="W39" s="393"/>
      <c r="X39" s="393"/>
      <c r="Y39" s="389"/>
      <c r="Z39" s="377" t="str" cm="1">
        <f t="array" ref="Z39">_xlfn.IFS(AN33=0,"",$S$4="ontslag","Schadeloosstelling voor werkgever",TRUE,"")</f>
        <v/>
      </c>
      <c r="AA39" s="377" t="s">
        <v>294</v>
      </c>
      <c r="AB39" s="377"/>
      <c r="AD39" s="377"/>
      <c r="AE39" s="377"/>
      <c r="AG39" s="386"/>
      <c r="AH39" s="386"/>
      <c r="AI39" s="386" t="str" cm="1">
        <f t="array" ref="AI39">_xlfn.IFS(AN33=0,"",TRUE,"Transitievergoeding")</f>
        <v/>
      </c>
      <c r="AJ39" s="386"/>
      <c r="AK39" s="386" t="str" cm="1">
        <f t="array" ref="AK39">_xlfn.IFS(AN33=0,"",TRUE,R44)</f>
        <v/>
      </c>
    </row>
    <row r="40" spans="1:40" x14ac:dyDescent="0.55000000000000004">
      <c r="A40" s="380"/>
      <c r="B40" s="420" t="str" cm="1">
        <f t="array" ref="B40">_xlfn.IFS(F4=TRUE,"",F5=TRUE,"Hoe sterk is de ontslagzaak bij de kantonrechter? ",TRUE,"Maak een keuze bij Ontslagsituatie!")</f>
        <v/>
      </c>
      <c r="E40" s="421"/>
      <c r="F40" s="387"/>
      <c r="G40" s="421"/>
      <c r="H40" s="394" t="s">
        <v>62</v>
      </c>
      <c r="I40" s="387"/>
      <c r="J40" s="394" t="s">
        <v>62</v>
      </c>
      <c r="K40" s="394"/>
      <c r="L40" s="387"/>
      <c r="M40" s="372" t="s">
        <v>261</v>
      </c>
      <c r="N40" s="382"/>
      <c r="O40" s="371" t="s">
        <v>264</v>
      </c>
      <c r="P40" s="373"/>
      <c r="Q40" s="373"/>
      <c r="R40" s="413"/>
      <c r="S40" s="389"/>
      <c r="T40" s="373"/>
      <c r="U40" s="393"/>
      <c r="V40" s="389"/>
      <c r="W40" s="393"/>
      <c r="X40" s="393"/>
      <c r="Y40" s="389"/>
      <c r="Z40" s="377" t="str" cm="1">
        <f t="array" ref="Z40">_xlfn.IFS(AN33=0,"",$S$4="ontslag","Verrekenen",TRUE,"")</f>
        <v/>
      </c>
      <c r="AA40" s="377" t="s">
        <v>293</v>
      </c>
      <c r="AB40" s="377"/>
      <c r="AD40" s="377"/>
      <c r="AE40" s="377"/>
      <c r="AG40" s="386"/>
      <c r="AH40" s="386"/>
      <c r="AI40" s="386" t="str" cm="1">
        <f t="array" ref="AI40">_xlfn.IFS(AN33=0,"",TRUE,"Loonkosten e.d. na")</f>
        <v/>
      </c>
      <c r="AJ40" s="386"/>
      <c r="AK40" s="386" t="str" cm="1">
        <f t="array" ref="AK40">_xlfn.IFS(AN33=0,"",TRUE,0)</f>
        <v/>
      </c>
      <c r="AL40" s="371" t="str" cm="1">
        <f t="array" ref="AL40">_xlfn.IFS(AN33=0,"",TRUE,AD25)</f>
        <v/>
      </c>
    </row>
    <row r="41" spans="1:40" x14ac:dyDescent="0.55000000000000004">
      <c r="A41" s="380"/>
      <c r="B41" s="377" t="str" cm="1">
        <f t="array" ref="B41">_xlfn.IFS(F4=TRUE,"",F5=TRUE,"Kans ontbinding wegens ernstig verwijtbaar handelen",TRUE,"Maak een keuze bij Ontslagsituatie!")</f>
        <v/>
      </c>
      <c r="E41" s="421">
        <v>5</v>
      </c>
      <c r="F41" s="387">
        <v>1</v>
      </c>
      <c r="G41" s="387"/>
      <c r="H41" s="394" t="s">
        <v>67</v>
      </c>
      <c r="I41" s="387"/>
      <c r="J41" s="394" t="s">
        <v>67</v>
      </c>
      <c r="K41" s="394"/>
      <c r="L41" s="387"/>
      <c r="M41" s="372" t="s">
        <v>261</v>
      </c>
      <c r="N41" s="382"/>
      <c r="O41" s="397" t="s">
        <v>268</v>
      </c>
      <c r="P41" s="398"/>
      <c r="Q41" s="398"/>
      <c r="R41" s="383" t="str">
        <f>Ontslagregeling!F20</f>
        <v>vul de kans in</v>
      </c>
      <c r="S41" s="389" cm="1">
        <f t="array" ref="S41">_xlfn.IFS(S4="ontslag",_xlfn.IFS(R41="vrijwel niet te missen (90-100%)",14,R41="n.v.t.",14,R41="vul de kans in",14,TRUE,0),R41="vul de kans in",0,R41="n.v.t.",0,R41="kansloos (0-20%)",2,R41="kleine kans (30-40%)",4,R41="twijfelachtige kans (50-60%)",6,R41="voldoende kans (70%)",8,R41="goede kans (80%)",10,R41="vrijwel niet te missen (90-100%)",12,TRUE,1)</f>
        <v>0</v>
      </c>
      <c r="T41" s="422" t="s">
        <v>269</v>
      </c>
      <c r="U41" s="393"/>
      <c r="W41" s="413"/>
      <c r="X41" s="393"/>
      <c r="Y41" s="389"/>
      <c r="Z41" s="377" t="str" cm="1">
        <f t="array" ref="Z41">_xlfn.IFS(AN33=0,"",$S$4="ontslag","  Besparing",TRUE,"")</f>
        <v/>
      </c>
      <c r="AA41" s="377" t="s">
        <v>605</v>
      </c>
      <c r="AB41" s="377"/>
      <c r="AD41" s="377"/>
      <c r="AE41" s="377"/>
      <c r="AG41" s="386"/>
      <c r="AH41" s="386"/>
      <c r="AI41" s="386" t="str" cm="1">
        <f t="array" ref="AI41">_xlfn.IFS(AN33=0,"",TRUE,"Uitbetalen vakantie-uren (saldo nu)")</f>
        <v/>
      </c>
      <c r="AJ41" s="386"/>
      <c r="AK41" s="371" t="str" cm="1">
        <f t="array" ref="AK41">_xlfn.IFS(AN33=0,"",TRUE,R52)</f>
        <v/>
      </c>
    </row>
    <row r="42" spans="1:40" x14ac:dyDescent="0.55000000000000004">
      <c r="A42" s="380"/>
      <c r="B42" s="377" t="str" cm="1">
        <f t="array" ref="B42">_xlfn.IFS(F4=TRUE,"",F5=TRUE,"Kans ontbinding op andere ontbindingsgrond",TRUE,"Maak een keuze bij Ontslagsituatie!")</f>
        <v/>
      </c>
      <c r="E42" s="421"/>
      <c r="F42" s="387">
        <v>8</v>
      </c>
      <c r="G42" s="387"/>
      <c r="H42" s="394" t="s">
        <v>64</v>
      </c>
      <c r="I42" s="387"/>
      <c r="J42" s="394" t="s">
        <v>64</v>
      </c>
      <c r="K42" s="394"/>
      <c r="L42" s="387"/>
      <c r="M42" s="372" t="s">
        <v>261</v>
      </c>
      <c r="N42" s="382"/>
      <c r="O42" s="410" t="s">
        <v>266</v>
      </c>
      <c r="P42" s="373"/>
      <c r="Q42" s="373"/>
      <c r="R42" s="383" t="str">
        <f>Ontslagregeling!F21</f>
        <v>vul de kans in</v>
      </c>
      <c r="S42" s="389" cm="1">
        <f t="array" ref="S42">_xlfn.IFS(R42="n.v.t.",0,R42="vul de kans in",0,R42="kansloos (0-20%)",2,R42="kleine kans (30-40%)",4,R42="twijfelachtige kans (50-60%)",6,R42="voldoende kans (70%)",8,R42="goede kans (80%)",10,R42="vrijwel niet te missen (90-100%)",12,TRUE,1)</f>
        <v>0</v>
      </c>
      <c r="T42" s="389" cm="1">
        <f t="array" ref="T42">_xlfn.IFS((S41+S42)=0,S43/2,TRUE,(_xlfn.IFS(S41&gt;S42,S41,TRUE,S42)))</f>
        <v>0</v>
      </c>
      <c r="U42" s="393"/>
      <c r="W42" s="413"/>
      <c r="X42" s="393"/>
      <c r="Y42" s="389"/>
      <c r="Z42" s="377" t="str" cm="1">
        <f t="array" ref="Z42">_xlfn.IFS(AN33=0,"",$S$4="ontslag",0,TRUE,"")</f>
        <v/>
      </c>
      <c r="AA42" s="377" t="s">
        <v>292</v>
      </c>
      <c r="AB42" s="377"/>
      <c r="AD42" s="371" t="str" cm="1">
        <f t="array" ref="AD42">_xlfn.IFS(AN33=0,"",$S$4="tijduwv",AI8,$S$4="tijdontb",AI8,TRUE,"")</f>
        <v/>
      </c>
      <c r="AE42" s="377" t="s">
        <v>349</v>
      </c>
      <c r="AG42" s="386"/>
      <c r="AH42" s="386"/>
      <c r="AI42" s="386" t="str" cm="1">
        <f t="array" ref="AI42">_xlfn.IFS(AN33=0,"",TRUE,"Uitbetalen vakantie-uren (nog)")</f>
        <v/>
      </c>
      <c r="AJ42" s="386"/>
      <c r="AK42" s="386" t="str" cm="1">
        <f t="array" ref="AK42">_xlfn.IFS(AN33=0,"",TRUE,R55)</f>
        <v/>
      </c>
    </row>
    <row r="43" spans="1:40" x14ac:dyDescent="0.55000000000000004">
      <c r="A43" s="380"/>
      <c r="B43" s="420" t="s">
        <v>59</v>
      </c>
      <c r="E43" s="421"/>
      <c r="F43" s="387">
        <f>F41+F42</f>
        <v>9</v>
      </c>
      <c r="G43" s="387"/>
      <c r="H43" s="394" t="s">
        <v>63</v>
      </c>
      <c r="I43" s="387"/>
      <c r="J43" s="394" t="s">
        <v>63</v>
      </c>
      <c r="K43" s="394"/>
      <c r="L43" s="387"/>
      <c r="M43" s="372" t="s">
        <v>261</v>
      </c>
      <c r="N43" s="382"/>
      <c r="O43" s="423" t="s">
        <v>267</v>
      </c>
      <c r="P43" s="424"/>
      <c r="Q43" s="424"/>
      <c r="R43" s="383" t="str">
        <f>Ontslagregeling!F22</f>
        <v>vul de kans in</v>
      </c>
      <c r="S43" s="389" cm="1">
        <f t="array" ref="S43">_xlfn.IFS(R43="n.v.t.",0,R43="vul de kans in",0,R43="kansloos (0-20%)",2,R43="kleine kans (30-40%)",4,R43="twijfelachtige kans (50-60%)",6,R43="voldoende kans (70%)",8,R43="goede kans (80%)",8,R43="vrijwel niet te missen (90-100%)",8,TRUE,1)</f>
        <v>0</v>
      </c>
      <c r="T43" s="373"/>
      <c r="U43" s="393"/>
      <c r="V43" s="393"/>
      <c r="W43" s="393"/>
      <c r="X43" s="393"/>
      <c r="Y43" s="389"/>
      <c r="Z43" s="377" t="str" cm="1">
        <f t="array" ref="Z43">_xlfn.IFS(AN33=0,"",$S$4="ontslag",R52,TRUE,"")</f>
        <v/>
      </c>
      <c r="AA43" s="377" t="s">
        <v>297</v>
      </c>
      <c r="AB43" s="377"/>
      <c r="AD43" s="377" t="str" cm="1">
        <f t="array" ref="AD43">_xlfn.IFS(AN33=0,"",$S$4="tijduwv",AI17,$S$4="tijdontb",AI17,TRUE,"")</f>
        <v/>
      </c>
      <c r="AE43" s="377" t="s">
        <v>350</v>
      </c>
      <c r="AG43" s="386"/>
      <c r="AH43" s="386"/>
      <c r="AI43" s="386" t="str" cm="1">
        <f t="array" ref="AI43">_xlfn.IFS(AN33=0,"",TRUE,"Opgenomen")</f>
        <v/>
      </c>
      <c r="AJ43" s="386"/>
      <c r="AK43" s="386"/>
    </row>
    <row r="44" spans="1:40" x14ac:dyDescent="0.55000000000000004">
      <c r="A44" s="380"/>
      <c r="B44" s="377" t="s">
        <v>9</v>
      </c>
      <c r="E44" s="421" t="e" cm="1">
        <f t="array" ref="E44">_xlfn.IFS(F41&gt;6,0,F5&lt;7,E18*E33,TRUE,E18*E33)</f>
        <v>#REF!</v>
      </c>
      <c r="F44" s="387"/>
      <c r="G44" s="387"/>
      <c r="H44" s="394" t="s">
        <v>66</v>
      </c>
      <c r="I44" s="387"/>
      <c r="J44" s="394" t="s">
        <v>66</v>
      </c>
      <c r="K44" s="394"/>
      <c r="L44" s="387"/>
      <c r="M44" s="372" t="s">
        <v>261</v>
      </c>
      <c r="N44" s="382"/>
      <c r="O44" s="410" t="s">
        <v>9</v>
      </c>
      <c r="P44" s="373"/>
      <c r="Q44" s="373"/>
      <c r="R44" s="413" cm="1">
        <f t="array" aca="1" ref="R44" ca="1">_xlfn.IFS(S4="UWV",R37,S4="tijduwv",R37,S4="ontslag",(_xlfn.IFS(S42&gt;10,0,S41&gt;10,0,TRUE,R37)),S41&gt;10,0,TRUE,R37)</f>
        <v>0</v>
      </c>
      <c r="S44" s="389">
        <f>SUM(S41:S43)</f>
        <v>0</v>
      </c>
      <c r="T44" s="390" t="s">
        <v>270</v>
      </c>
      <c r="U44" s="393"/>
      <c r="V44" s="389"/>
      <c r="W44" s="393"/>
      <c r="X44" s="393"/>
      <c r="Y44" s="389"/>
      <c r="Z44" s="377" t="str" cm="1">
        <f t="array" ref="Z44">_xlfn.IFS(AN33=0,"",$S$4="ontslag",0,TRUE,"")</f>
        <v/>
      </c>
      <c r="AA44" s="377" t="s">
        <v>296</v>
      </c>
      <c r="AB44" s="377"/>
      <c r="AD44" s="377" t="str" cm="1">
        <f t="array" ref="AD44">_xlfn.IFS(AN33=0,"",$S$4="tijduwv",AI19,$S$4="tijdontb",AI19,TRUE,"")</f>
        <v/>
      </c>
      <c r="AE44" s="377" t="s">
        <v>351</v>
      </c>
      <c r="AG44" s="386"/>
      <c r="AH44" s="386"/>
      <c r="AI44" s="402" cm="1">
        <f t="array" ref="AI44">_xlfn.IFS(AN33=0,0,TRUE,"Cumulatievergoeding")</f>
        <v>0</v>
      </c>
      <c r="AJ44" s="402"/>
      <c r="AK44" s="402"/>
      <c r="AL44" s="402" cm="1">
        <f t="array" ref="AL44">_xlfn.IFS(AN33=0,0,TRUE,R45)</f>
        <v>0</v>
      </c>
    </row>
    <row r="45" spans="1:40" x14ac:dyDescent="0.55000000000000004">
      <c r="B45" s="377" t="str" cm="1">
        <f t="array" ref="B45">_xlfn.IFS(F4=TRUE,"",F5=TRUE,"Vergoeding gecombineerde ontbindingsgrond",TRUE,"Maak een keuze bij Ontslagsituatie!")</f>
        <v/>
      </c>
      <c r="E45" s="421" cm="1">
        <f t="array" ref="E45">_xlfn.IFS(F4=TRUE,,F42&gt;6,0,F42&lt;6,E44*0.5,F42=6,E44*0.25,TRUE,"?")</f>
        <v>0</v>
      </c>
      <c r="F45" s="395"/>
      <c r="G45" s="387"/>
      <c r="H45" s="394" t="s">
        <v>65</v>
      </c>
      <c r="I45" s="387"/>
      <c r="J45" s="394" t="s">
        <v>65</v>
      </c>
      <c r="K45" s="394"/>
      <c r="L45" s="387"/>
      <c r="M45" s="372" t="s">
        <v>261</v>
      </c>
      <c r="N45" s="373"/>
      <c r="O45" s="410" t="str" cm="1">
        <f t="array" ref="O45">_xlfn.IFS(S4=TRUE,"",T5=TRUE,"Vergoeding gecombineerde ontbindingsgrond",TRUE,"Maak een keuze bij Ontslagsituatie!")</f>
        <v>Maak een keuze bij Ontslagsituatie!</v>
      </c>
      <c r="P45" s="373"/>
      <c r="Q45" s="373"/>
      <c r="R45" s="413" cm="1">
        <f t="array" aca="1" ref="R45" ca="1">_xlfn.IFS(T4=TRUE,0,S43&lt;1,0,T42&gt;10,0,T42=10,0.2*R44,T42=8,0.3*R44,T42=7,0.35*R44,T42=6,0.4*R44,T42=5,0.45*R44,T42=4,0.5*R44,T42=3,0.5*R44,T42&lt;3,0.5*R44,TRUE,0)</f>
        <v>0</v>
      </c>
      <c r="S45" s="414"/>
      <c r="T45" s="389" cm="1">
        <f t="array" ref="T45">_xlfn.IFS(S43&gt;(S42+S41),S43,TRUE,S42+S41)</f>
        <v>0</v>
      </c>
      <c r="U45" s="393"/>
      <c r="V45" s="389"/>
      <c r="W45" s="393"/>
      <c r="X45" s="393"/>
      <c r="Y45" s="389"/>
      <c r="Z45" s="377" t="str" cm="1">
        <f t="array" ref="Z45">_xlfn.IFS(AN33=0,"",$S$4="ontslag",AD22,TRUE,"")</f>
        <v/>
      </c>
      <c r="AA45" s="377" t="s">
        <v>271</v>
      </c>
      <c r="AB45" s="377"/>
      <c r="AD45" s="377" t="str" cm="1">
        <f t="array" ref="AD45">_xlfn.IFS(AN33=0,"",$S$4="tijduwv",AI21,$S$4="tijdontb",AI21,TRUE,"")</f>
        <v/>
      </c>
      <c r="AE45" s="377" t="s">
        <v>352</v>
      </c>
      <c r="AG45" s="386"/>
      <c r="AH45" s="386"/>
      <c r="AI45" s="402" cm="1">
        <f t="array" ref="AI45">_xlfn.IFS(AN33=0,0,TRUE,"Billijke vergoeding")</f>
        <v>0</v>
      </c>
      <c r="AJ45" s="402"/>
      <c r="AK45" s="402"/>
      <c r="AL45" s="402" cm="1">
        <f t="array" ref="AL45">_xlfn.IFS(AN33=0,0,TRUE,R46)</f>
        <v>0</v>
      </c>
    </row>
    <row r="46" spans="1:40" x14ac:dyDescent="0.55000000000000004">
      <c r="B46" s="377" t="str" cm="1">
        <f t="array" ref="B46">_xlfn.IFS(F4=TRUE,"",F5=TRUE,"Billijke vergoeding",TRUE,"Maak een keuze bij Ontslagsituatie!")</f>
        <v/>
      </c>
      <c r="E46" s="421" cm="1">
        <f t="array" ref="E46">_xlfn.IFS(F4=TRUE,0,F43&lt;6,G46,TRUE,0)</f>
        <v>0</v>
      </c>
      <c r="F46" s="387" t="e">
        <f>(((E17-5)*0.2)+3)*E33</f>
        <v>#REF!</v>
      </c>
      <c r="G46" s="394" t="e">
        <f>ROUND(F46,-3)</f>
        <v>#REF!</v>
      </c>
      <c r="H46" s="387"/>
      <c r="M46" s="372" t="s">
        <v>261</v>
      </c>
      <c r="N46" s="373"/>
      <c r="O46" s="410" t="str" cm="1">
        <f t="array" ref="O46">_xlfn.IFS(S4=TRUE,"",T5=TRUE,"Billijke vergoeding",TRUE,"Maak een keuze bij Ontslagsituatie!")</f>
        <v>Maak een keuze bij Ontslagsituatie!</v>
      </c>
      <c r="P46" s="373"/>
      <c r="Q46" s="373"/>
      <c r="R46" s="413" cm="1">
        <f t="array" ref="R46">_xlfn.IFS(T4=TRUE,0,S44&lt;1,0,T45&lt;8,T46,TRUE,0)</f>
        <v>0</v>
      </c>
      <c r="S46" s="389">
        <f ca="1">((((R17-5)*0.2)+3)*R33)-R45</f>
        <v>0</v>
      </c>
      <c r="T46" s="393">
        <f ca="1">ROUND(S46,-3)</f>
        <v>0</v>
      </c>
      <c r="U46" s="389"/>
      <c r="V46" s="373"/>
      <c r="W46" s="373"/>
      <c r="X46" s="373"/>
      <c r="Y46" s="373"/>
      <c r="Z46" s="377" t="str" cm="1">
        <f t="array" ref="Z46">_xlfn.IFS(AN33=0,"",AN33=0,"",$S$4="ontslag",0,TRUE,"")</f>
        <v/>
      </c>
      <c r="AA46" s="377" t="s">
        <v>299</v>
      </c>
      <c r="AB46" s="377"/>
      <c r="AD46" s="377" t="str" cm="1">
        <f t="array" ref="AD46">_xlfn.IFS(AN33=0,"",$S$4="tijduwv",AD23,$S$4="tijdontb",AD23,TRUE,"")</f>
        <v/>
      </c>
      <c r="AE46" s="377" t="s">
        <v>353</v>
      </c>
      <c r="AG46" s="386"/>
      <c r="AH46" s="386"/>
      <c r="AI46" s="402" cm="1">
        <f t="array" ref="AI46">_xlfn.IFS(AN33=0,0,TRUE,"Advocaatkosten")</f>
        <v>0</v>
      </c>
    </row>
    <row r="47" spans="1:40" x14ac:dyDescent="0.55000000000000004">
      <c r="B47" s="420" t="s">
        <v>33</v>
      </c>
      <c r="E47" s="421"/>
      <c r="F47" s="387"/>
      <c r="G47" s="387"/>
      <c r="H47" s="387"/>
      <c r="M47" s="372" t="s">
        <v>261</v>
      </c>
      <c r="N47" s="373"/>
      <c r="O47" s="418" t="s">
        <v>33</v>
      </c>
      <c r="P47" s="373"/>
      <c r="Q47" s="373"/>
      <c r="R47" s="413"/>
      <c r="S47" s="389"/>
      <c r="T47" s="389"/>
      <c r="U47" s="389"/>
      <c r="V47" s="373"/>
      <c r="W47" s="373"/>
      <c r="X47" s="373"/>
      <c r="Y47" s="373"/>
      <c r="Z47" s="377" t="str" cm="1">
        <f t="array" ref="Z47">_xlfn.IFS(AN33=0,"",$S$4="ontslag",R34,TRUE,"")</f>
        <v/>
      </c>
      <c r="AA47" s="377" t="s">
        <v>300</v>
      </c>
      <c r="AB47" s="377"/>
      <c r="AD47" s="377" t="str" cm="1">
        <f t="array" ref="AD47">_xlfn.IFS(AN33=0,"",$S$4="tijduwv",R34,$S$4="tijdontb",R34,TRUE,"")</f>
        <v/>
      </c>
      <c r="AE47" s="377" t="s">
        <v>300</v>
      </c>
      <c r="AG47" s="386"/>
      <c r="AH47" s="386"/>
      <c r="AI47" s="386" t="str" cm="1">
        <f t="array" ref="AI47">_xlfn.IFS(AN33=0,"",TRUE,"Kosten ontslag werkgever:")</f>
        <v/>
      </c>
      <c r="AJ47" s="386"/>
      <c r="AK47" s="386" t="str" cm="1">
        <f t="array" ref="AK47">_xlfn.IFS(AN33=0,"",TRUE,R44)</f>
        <v/>
      </c>
      <c r="AL47" s="371" t="str" cm="1">
        <f t="array" ref="AL47">_xlfn.IFS(AN33=0,"",TRUE,AD28)</f>
        <v/>
      </c>
    </row>
    <row r="48" spans="1:40" x14ac:dyDescent="0.55000000000000004">
      <c r="B48" s="371" t="s">
        <v>35</v>
      </c>
      <c r="E48" s="421" t="e">
        <f>H21</f>
        <v>#REF!</v>
      </c>
      <c r="F48" s="387"/>
      <c r="G48" s="387"/>
      <c r="H48" s="387"/>
      <c r="M48" s="372" t="s">
        <v>261</v>
      </c>
      <c r="N48" s="373"/>
      <c r="O48" s="373" t="s">
        <v>35</v>
      </c>
      <c r="P48" s="373"/>
      <c r="Q48" s="373"/>
      <c r="R48" s="413">
        <f ca="1">U20</f>
        <v>1</v>
      </c>
      <c r="S48" s="389"/>
      <c r="T48" s="389"/>
      <c r="U48" s="389"/>
      <c r="V48" s="373"/>
      <c r="W48" s="373"/>
      <c r="X48" s="373"/>
      <c r="Y48" s="373"/>
      <c r="Z48" s="371" t="str" cm="1">
        <f t="array" ref="Z48">_xlfn.IFS(AN33=0,"",$S$4="ontslag",R35,TRUE,"")</f>
        <v/>
      </c>
      <c r="AA48" s="371" t="s">
        <v>360</v>
      </c>
      <c r="AD48" s="371" t="str" cm="1">
        <f t="array" ref="AD48">_xlfn.IFS(AN33=0,"",$S$4="tijduwv",R35,$S$4="tijdontb",R35,TRUE,"")</f>
        <v/>
      </c>
      <c r="AE48" s="371" t="s">
        <v>360</v>
      </c>
      <c r="AI48" s="386"/>
      <c r="AJ48" s="386"/>
      <c r="AK48" s="386"/>
    </row>
    <row r="49" spans="2:38" x14ac:dyDescent="0.55000000000000004">
      <c r="B49" s="371" t="s">
        <v>31</v>
      </c>
      <c r="E49" s="421" t="e">
        <f>((E33-H30)*E48*P66)+(E60*E48)</f>
        <v>#REF!</v>
      </c>
      <c r="F49" s="387"/>
      <c r="G49" s="387"/>
      <c r="H49" s="387"/>
      <c r="M49" s="372" t="s">
        <v>261</v>
      </c>
      <c r="N49" s="373"/>
      <c r="O49" s="373" t="s">
        <v>31</v>
      </c>
      <c r="P49" s="373"/>
      <c r="Q49" s="373"/>
      <c r="R49" s="413">
        <f ca="1">((R33-U30)*R48*S49)+(R60*R48)</f>
        <v>0</v>
      </c>
      <c r="S49" s="425" cm="1">
        <f t="array" ref="S49">_xlfn.IFS(Ontslagregeling!Z36&gt;0.99,Ontslagregeling!Z36,TRUE,1.15)</f>
        <v>1.1499999999999999</v>
      </c>
      <c r="T49" s="426" t="s">
        <v>284</v>
      </c>
      <c r="U49" s="389"/>
      <c r="V49" s="373"/>
      <c r="W49" s="373"/>
      <c r="X49" s="373"/>
      <c r="Y49" s="373"/>
      <c r="Z49" s="377" t="str" cm="1">
        <f t="array" ref="Z49">_xlfn.IFS(AN33=0,"",$S$4="ontslag",0,TRUE,"")</f>
        <v/>
      </c>
      <c r="AA49" s="377" t="s">
        <v>319</v>
      </c>
      <c r="AD49" s="377" t="str" cm="1">
        <f t="array" ref="AD49">_xlfn.IFS(AN33=0,"",$S$4="tijduwv",AI15,$S$4="tijdontb",AI15,TRUE,"")</f>
        <v/>
      </c>
      <c r="AE49" s="377" t="s">
        <v>348</v>
      </c>
      <c r="AG49" s="386"/>
      <c r="AH49" s="386"/>
    </row>
    <row r="50" spans="2:38" x14ac:dyDescent="0.55000000000000004">
      <c r="B50" s="420" t="s">
        <v>32</v>
      </c>
      <c r="E50" s="421"/>
      <c r="F50" s="395"/>
      <c r="G50" s="387"/>
      <c r="H50" s="387"/>
      <c r="M50" s="372" t="s">
        <v>261</v>
      </c>
      <c r="N50" s="373"/>
      <c r="O50" s="418" t="s">
        <v>32</v>
      </c>
      <c r="P50" s="373"/>
      <c r="Q50" s="373"/>
      <c r="R50" s="413"/>
      <c r="S50" s="414"/>
      <c r="T50" s="389"/>
      <c r="U50" s="389"/>
      <c r="V50" s="373"/>
      <c r="W50" s="373"/>
      <c r="X50" s="373"/>
      <c r="Y50" s="373"/>
      <c r="AD50" s="377" t="str" cm="1">
        <f t="array" ref="AD50">_xlfn.IFS(AN33=0,"",$S$4="tijduwv",AI22,$S$4="tijdontb",AI22,TRUE,"")</f>
        <v/>
      </c>
      <c r="AE50" s="377" t="s">
        <v>356</v>
      </c>
      <c r="AG50" s="386"/>
      <c r="AH50" s="386"/>
      <c r="AJ50" s="386"/>
      <c r="AK50" s="386"/>
    </row>
    <row r="51" spans="2:38" x14ac:dyDescent="0.55000000000000004">
      <c r="B51" s="371" t="s">
        <v>25</v>
      </c>
      <c r="E51" s="427" cm="1">
        <f t="array" ref="E51">_xlfn.IFS(I74="",0,TRUE,I74)</f>
        <v>0</v>
      </c>
      <c r="F51" s="395" t="s">
        <v>7</v>
      </c>
      <c r="H51" s="428" t="e">
        <f>(((E33-H30)*3)/13)/E53</f>
        <v>#REF!</v>
      </c>
      <c r="I51" s="387" t="s">
        <v>54</v>
      </c>
      <c r="M51" s="372" t="s">
        <v>261</v>
      </c>
      <c r="N51" s="373"/>
      <c r="O51" s="373" t="s">
        <v>25</v>
      </c>
      <c r="P51" s="373"/>
      <c r="Q51" s="373"/>
      <c r="R51" s="392" cm="1">
        <f t="array" ref="R51">_xlfn.IFS(Ontslagregeling!P31="",0,TRUE,Ontslagregeling!P31)</f>
        <v>0</v>
      </c>
      <c r="S51" s="414" t="s">
        <v>7</v>
      </c>
      <c r="T51" s="373"/>
      <c r="U51" s="429" cm="1">
        <f t="array" aca="1" ref="U51" ca="1">_xlfn.IFS(R53=0,0,TRUE,(((R33-U30)*3)/13)/R53)</f>
        <v>0</v>
      </c>
      <c r="V51" s="389" t="s">
        <v>54</v>
      </c>
      <c r="W51" s="373"/>
      <c r="X51" s="373"/>
      <c r="Y51" s="373"/>
      <c r="Z51" s="380" t="s">
        <v>312</v>
      </c>
      <c r="AA51" s="377"/>
      <c r="AB51" s="377"/>
      <c r="AC51" s="377"/>
      <c r="AD51" s="377"/>
      <c r="AE51" s="377"/>
      <c r="AG51" s="386"/>
      <c r="AH51" s="386"/>
      <c r="AI51" s="382" t="s">
        <v>438</v>
      </c>
      <c r="AJ51" s="410"/>
      <c r="AK51" s="382"/>
      <c r="AL51" s="380"/>
    </row>
    <row r="52" spans="2:38" x14ac:dyDescent="0.55000000000000004">
      <c r="B52" s="371" t="s">
        <v>26</v>
      </c>
      <c r="E52" s="421" t="e">
        <f>E51*H51</f>
        <v>#REF!</v>
      </c>
      <c r="F52" s="387"/>
      <c r="G52" s="387"/>
      <c r="H52" s="387"/>
      <c r="M52" s="372" t="s">
        <v>261</v>
      </c>
      <c r="N52" s="373"/>
      <c r="O52" s="373" t="s">
        <v>26</v>
      </c>
      <c r="P52" s="373"/>
      <c r="Q52" s="373"/>
      <c r="R52" s="413">
        <f ca="1">R51*U51</f>
        <v>0</v>
      </c>
      <c r="S52" s="389"/>
      <c r="T52" s="389"/>
      <c r="U52" s="389"/>
      <c r="V52" s="373"/>
      <c r="W52" s="373"/>
      <c r="X52" s="373"/>
      <c r="Y52" s="373"/>
      <c r="Z52" s="371" t="str" cm="1">
        <f t="array" ref="Z52">_xlfn.IFS(AN33=0,"",$S$4="uwv","UWV-ontslag",$S$4="tijduwv","UWV-ontslag",TRUE,"Ontbinding kantonrechter")</f>
        <v/>
      </c>
      <c r="AA52" s="377"/>
      <c r="AB52" s="377"/>
      <c r="AC52" s="377" t="s">
        <v>313</v>
      </c>
      <c r="AD52" s="377"/>
      <c r="AE52" s="377"/>
      <c r="AG52" s="386"/>
      <c r="AH52" s="386"/>
      <c r="AI52" s="373" t="str" cm="1">
        <f t="array" ref="AI52">_xlfn.IFS(AN33=0,"",TRUE,"Alle ontslagkosten vergelijken")</f>
        <v/>
      </c>
    </row>
    <row r="53" spans="2:38" x14ac:dyDescent="0.55000000000000004">
      <c r="B53" s="371" t="s">
        <v>29</v>
      </c>
      <c r="E53" s="427" t="e" cm="1">
        <f t="array" ref="E53">_xlfn.IFS(M66="",0,TRUE,M66*N70)</f>
        <v>#REF!</v>
      </c>
      <c r="F53" s="395" t="s">
        <v>7</v>
      </c>
      <c r="M53" s="372" t="s">
        <v>261</v>
      </c>
      <c r="N53" s="373"/>
      <c r="O53" s="373" t="s">
        <v>29</v>
      </c>
      <c r="P53" s="373"/>
      <c r="Q53" s="373"/>
      <c r="R53" s="392" cm="1">
        <f t="array" ref="R53">_xlfn.IFS(Ontslagregeling!P32="",0,TRUE,Ontslagregeling!P32)</f>
        <v>40</v>
      </c>
      <c r="S53" s="414" t="s">
        <v>7</v>
      </c>
      <c r="T53" s="373"/>
      <c r="U53" s="373"/>
      <c r="V53" s="373"/>
      <c r="W53" s="373"/>
      <c r="X53" s="373"/>
      <c r="Y53" s="373"/>
      <c r="Z53" s="377" t="str" cm="1">
        <f t="array" ref="Z53">_xlfn.IFS($S$4="uwv","",$S$4="tijduwv","",TRUE,_xlfn.IFS(S44=0,"",AN33=0,"",TRUE,R45))</f>
        <v/>
      </c>
      <c r="AA53" s="377"/>
      <c r="AB53" s="377"/>
      <c r="AC53" s="377" t="s">
        <v>606</v>
      </c>
      <c r="AD53" s="377"/>
      <c r="AE53" s="377"/>
      <c r="AG53" s="386"/>
      <c r="AH53" s="386"/>
      <c r="AI53" s="371" t="str" cm="1">
        <f t="array" ref="AI53">_xlfn.IFS(AN33=0,"",TRUE,"Wat kost de medewerker normaal")</f>
        <v/>
      </c>
    </row>
    <row r="54" spans="2:38" x14ac:dyDescent="0.55000000000000004">
      <c r="B54" s="371" t="s">
        <v>30</v>
      </c>
      <c r="E54" s="427" cm="1">
        <f t="array" ref="E54">_xlfn.IFS(J74="",0,TRUE,J74)</f>
        <v>180</v>
      </c>
      <c r="F54" s="395" t="s">
        <v>18</v>
      </c>
      <c r="G54" s="387"/>
      <c r="H54" s="428"/>
      <c r="I54" s="387"/>
      <c r="M54" s="372" t="s">
        <v>261</v>
      </c>
      <c r="N54" s="373"/>
      <c r="O54" s="373" t="s">
        <v>30</v>
      </c>
      <c r="P54" s="373"/>
      <c r="Q54" s="373"/>
      <c r="R54" s="392" cm="1">
        <f t="array" ref="R54">_xlfn.IFS(Ontslagregeling!P33="",0,TRUE,Ontslagregeling!P33)</f>
        <v>20</v>
      </c>
      <c r="S54" s="414" t="s">
        <v>18</v>
      </c>
      <c r="T54" s="389"/>
      <c r="U54" s="429"/>
      <c r="V54" s="389"/>
      <c r="W54" s="373"/>
      <c r="X54" s="373"/>
      <c r="Y54" s="373"/>
      <c r="Z54" s="377" t="str" cm="1">
        <f t="array" ref="Z54">_xlfn.IFS($S$4="uwv","",$S$4="tijduwv","",TRUE,_xlfn.IFS(S44=0,"Voer de kans van slagen bij de kantonrechter in!",TRUE,R46))</f>
        <v/>
      </c>
      <c r="AA54" s="377"/>
      <c r="AB54" s="377"/>
      <c r="AD54" s="377"/>
      <c r="AE54" s="377" t="str" cm="1">
        <f t="array" ref="AE54">_xlfn.IFS($S$4="uwv","",$S$4="tijduwv","",TRUE,_xlfn.IFS(R46=0,"",TRUE,R46))</f>
        <v/>
      </c>
      <c r="AF54" s="377" t="s">
        <v>314</v>
      </c>
      <c r="AG54" s="386"/>
      <c r="AH54" s="386"/>
      <c r="AI54" s="426" t="str" cm="1">
        <f t="array" ref="AI54">_xlfn.IFS(AN33=0,"",TRUE,"Loonkosten tot datum "&amp;AM38&amp;"")</f>
        <v/>
      </c>
      <c r="AJ54" s="430" t="str" cm="1">
        <f t="array" ref="AJ54">_xlfn.IFS(AN33=0,"",TRUE,AD23)</f>
        <v/>
      </c>
      <c r="AK54" s="430" t="str" cm="1">
        <f t="array" ref="AK54">_xlfn.IFS(AN33=0,"",TRUE,AD23)</f>
        <v/>
      </c>
    </row>
    <row r="55" spans="2:38" x14ac:dyDescent="0.55000000000000004">
      <c r="B55" s="371" t="s">
        <v>27</v>
      </c>
      <c r="E55" s="421" t="e">
        <f>(H22/52*4*E53)*E54/20*H51</f>
        <v>#REF!</v>
      </c>
      <c r="F55" s="387"/>
      <c r="G55" s="387"/>
      <c r="H55" s="387"/>
      <c r="M55" s="372" t="s">
        <v>261</v>
      </c>
      <c r="N55" s="373"/>
      <c r="O55" s="373" t="s">
        <v>27</v>
      </c>
      <c r="P55" s="373"/>
      <c r="Q55" s="373"/>
      <c r="R55" s="413">
        <f ca="1">(U21/52*(4*R53))*((R54/20)*U51)</f>
        <v>0</v>
      </c>
      <c r="S55" s="389"/>
      <c r="T55" s="389"/>
      <c r="U55" s="389"/>
      <c r="V55" s="373"/>
      <c r="W55" s="373"/>
      <c r="X55" s="373"/>
      <c r="Y55" s="373"/>
      <c r="Z55" s="377" t="str" cm="1">
        <f t="array" ref="Z55">_xlfn.IFS($S$4="uwv","",$S$4="tijduwv","",AN33=0,"",TRUE,R62)</f>
        <v/>
      </c>
      <c r="AA55" s="377"/>
      <c r="AB55" s="377"/>
      <c r="AC55" s="377" t="s">
        <v>315</v>
      </c>
      <c r="AD55" s="377"/>
      <c r="AE55" s="377"/>
      <c r="AG55" s="386"/>
      <c r="AH55" s="386"/>
      <c r="AI55" s="382" t="str" cm="1">
        <f t="array" ref="AI55">_xlfn.IFS(AN33=0,"",$S$4="ontslag","Alle kosten vanaf datum ontslag",TRUE,"Alle kosten vanaf nu (datum overleg)")</f>
        <v/>
      </c>
      <c r="AJ55" s="430" t="str" cm="1">
        <f t="array" ref="AJ55">_xlfn.IFS(AN33=0,"",TRUE,AD24)</f>
        <v/>
      </c>
      <c r="AK55" s="430" t="str" cm="1">
        <f t="array" ref="AK55">_xlfn.IFS(AN33=0,"",TRUE,AD32)</f>
        <v/>
      </c>
    </row>
    <row r="56" spans="2:38" x14ac:dyDescent="0.55000000000000004">
      <c r="B56" s="371" t="s">
        <v>28</v>
      </c>
      <c r="E56" s="421" t="e">
        <f>E52+E55</f>
        <v>#REF!</v>
      </c>
      <c r="F56" s="395"/>
      <c r="G56" s="387"/>
      <c r="H56" s="387"/>
      <c r="M56" s="372" t="s">
        <v>261</v>
      </c>
      <c r="N56" s="373"/>
      <c r="O56" s="373" t="s">
        <v>28</v>
      </c>
      <c r="P56" s="373"/>
      <c r="Q56" s="373"/>
      <c r="R56" s="413">
        <f ca="1">R52+R55</f>
        <v>0</v>
      </c>
      <c r="S56" s="414"/>
      <c r="T56" s="389"/>
      <c r="U56" s="389"/>
      <c r="V56" s="373"/>
      <c r="W56" s="373"/>
      <c r="X56" s="373"/>
      <c r="Y56" s="373"/>
      <c r="Z56" s="377" t="str" cm="1">
        <f t="array" ref="Z56">_xlfn.IFS($S$4="uwv","",$S$4="tijduwv","",AN33=0,"",TRUE,"Cumulatievergoeding")</f>
        <v/>
      </c>
      <c r="AA56" s="377"/>
      <c r="AB56" s="377"/>
      <c r="AC56" s="377" t="s">
        <v>316</v>
      </c>
      <c r="AD56" s="377"/>
      <c r="AE56" s="377"/>
      <c r="AG56" s="386"/>
      <c r="AH56" s="386"/>
      <c r="AI56" s="430" t="str" cm="1">
        <f t="array" ref="AI56">_xlfn.IFS(AN33=0,"",TRUE,"Kosten per maand voor deze werknemer")</f>
        <v/>
      </c>
      <c r="AJ56" s="430" t="str" cm="1">
        <f t="array" ref="AJ56">_xlfn.IFS(AN33=0,"",TRUE,R35)</f>
        <v/>
      </c>
      <c r="AK56" s="430" t="str" cm="1">
        <f t="array" ref="AK56">_xlfn.IFS(AN33=0,"",TRUE,R35)</f>
        <v/>
      </c>
    </row>
    <row r="57" spans="2:38" x14ac:dyDescent="0.55000000000000004">
      <c r="B57" s="420" t="s">
        <v>223</v>
      </c>
      <c r="E57" s="421"/>
      <c r="F57" s="387"/>
      <c r="G57" s="387"/>
      <c r="H57" s="387"/>
      <c r="M57" s="372" t="s">
        <v>261</v>
      </c>
      <c r="N57" s="373"/>
      <c r="O57" s="418" t="s">
        <v>357</v>
      </c>
      <c r="P57" s="373"/>
      <c r="Q57" s="373"/>
      <c r="R57" s="413"/>
      <c r="S57" s="389"/>
      <c r="T57" s="389"/>
      <c r="U57" s="389"/>
      <c r="V57" s="373"/>
      <c r="W57" s="373"/>
      <c r="X57" s="373"/>
      <c r="Y57" s="373"/>
      <c r="Z57" s="377" t="str" cm="1">
        <f t="array" ref="Z57">_xlfn.IFS($S$4="uwv","",$S$4="tijduwv","",AN33=0,"",TRUE,"Billijke vergoeding")</f>
        <v/>
      </c>
      <c r="AA57" s="377"/>
      <c r="AB57" s="377"/>
      <c r="AC57" s="377" t="s">
        <v>317</v>
      </c>
      <c r="AD57" s="377"/>
      <c r="AE57" s="377"/>
      <c r="AG57" s="386"/>
      <c r="AH57" s="386"/>
      <c r="AI57" s="430" t="str" cm="1">
        <f t="array" ref="AI57">_xlfn.IFS(AN33=0,"",TRUE,"Kosten per jaar voor deze werknemer")</f>
        <v/>
      </c>
      <c r="AJ57" s="430" t="str" cm="1">
        <f t="array" ref="AJ57">_xlfn.IFS(AN33=0,"",TRUE,R34)</f>
        <v/>
      </c>
      <c r="AK57" s="430" t="str" cm="1">
        <f t="array" ref="AK57">_xlfn.IFS(AN33=0,"",TRUE,R34)</f>
        <v/>
      </c>
    </row>
    <row r="58" spans="2:38" x14ac:dyDescent="0.55000000000000004">
      <c r="B58" s="371" t="s">
        <v>2</v>
      </c>
      <c r="E58" s="427" cm="1">
        <f t="array" ref="E58">_xlfn.IFS(L74="",0,TRUE,L74)</f>
        <v>543215432</v>
      </c>
      <c r="F58" s="387"/>
      <c r="G58" s="387"/>
      <c r="H58" s="387"/>
      <c r="M58" s="372" t="s">
        <v>261</v>
      </c>
      <c r="N58" s="373"/>
      <c r="O58" s="373"/>
      <c r="P58" s="373"/>
      <c r="Q58" s="373"/>
      <c r="R58" s="392"/>
      <c r="S58" s="389"/>
      <c r="T58" s="389"/>
      <c r="U58" s="389"/>
      <c r="V58" s="373"/>
      <c r="W58" s="373"/>
      <c r="X58" s="373"/>
      <c r="Y58" s="373"/>
      <c r="Z58" s="377" t="str" cm="1">
        <f t="array" ref="Z58">_xlfn.IFS($S$4="uwv","",$S$4="tijduwv","",AN33=0,"",TRUE,"Advocaatkosten bij kantonrechter")</f>
        <v/>
      </c>
      <c r="AA58" s="377"/>
      <c r="AB58" s="377"/>
      <c r="AC58" s="377" t="s">
        <v>318</v>
      </c>
      <c r="AD58" s="377"/>
      <c r="AE58" s="377"/>
      <c r="AG58" s="386"/>
      <c r="AH58" s="386"/>
      <c r="AI58" s="386"/>
      <c r="AJ58" s="386"/>
      <c r="AK58" s="386"/>
    </row>
    <row r="59" spans="2:38" x14ac:dyDescent="0.55000000000000004">
      <c r="B59" s="371" t="s">
        <v>607</v>
      </c>
      <c r="E59" s="392" cm="1">
        <f t="array" ref="E59">_xlfn.IFS(M74="",0,TRUE,M74)</f>
        <v>0</v>
      </c>
      <c r="F59" s="395"/>
      <c r="G59" s="387"/>
      <c r="H59" s="387"/>
      <c r="M59" s="372" t="s">
        <v>261</v>
      </c>
      <c r="N59" s="373"/>
      <c r="O59" s="373"/>
      <c r="P59" s="373"/>
      <c r="Q59" s="373"/>
      <c r="R59" s="392"/>
      <c r="S59" s="414"/>
      <c r="T59" s="389"/>
      <c r="U59" s="389"/>
      <c r="V59" s="373"/>
      <c r="W59" s="373"/>
      <c r="X59" s="373"/>
      <c r="Y59" s="373"/>
      <c r="Z59" s="377" t="str" cm="1">
        <f t="array" ref="Z59">_xlfn.IFS($S$4="uwv","",$S$4="tijduwv","",AN33=0,"",Z54="Voer de kans van slagen bij de kantonrechter in!","Voer de kans van slagen van de werkgever bij de kantonrechter in:",TRUE,"Voer de kans van slagen van de werkgever bij de kantonrechter:")</f>
        <v/>
      </c>
      <c r="AC59" s="371" t="s">
        <v>327</v>
      </c>
      <c r="AG59" s="386"/>
      <c r="AH59" s="386"/>
      <c r="AI59" s="386"/>
      <c r="AJ59" s="386"/>
      <c r="AK59" s="386"/>
    </row>
    <row r="60" spans="2:38" x14ac:dyDescent="0.55000000000000004">
      <c r="B60" s="371" t="s">
        <v>236</v>
      </c>
      <c r="E60" s="421" t="e">
        <f>(E58+E59)*E48</f>
        <v>#REF!</v>
      </c>
      <c r="F60" s="387"/>
      <c r="G60" s="387"/>
      <c r="H60" s="387"/>
      <c r="M60" s="372" t="s">
        <v>261</v>
      </c>
      <c r="N60" s="373"/>
      <c r="O60" s="373" t="s">
        <v>236</v>
      </c>
      <c r="P60" s="373"/>
      <c r="Q60" s="373"/>
      <c r="R60" s="413" cm="1">
        <f t="array" aca="1" ref="R60" ca="1">_xlfn.IFS(Ontslagregeling!P36="",0,TRUE,Ontslagregeling!P36*R48)</f>
        <v>0</v>
      </c>
      <c r="S60" s="389"/>
      <c r="T60" s="389"/>
      <c r="U60" s="389"/>
      <c r="V60" s="373"/>
      <c r="W60" s="373"/>
      <c r="X60" s="373"/>
      <c r="Y60" s="373"/>
      <c r="Z60" s="377" t="str" cm="1">
        <f t="array" ref="Z60">_xlfn.IFS($S$4="uwv","",$S$4="tijduwv","",AN33=0,"",$S$4="ontslag","Ontslag op staande voet",TRUE,"Ontbinding wegens ernstig verwijtbaar handelen")</f>
        <v/>
      </c>
      <c r="AA60" s="377"/>
      <c r="AB60" s="377"/>
      <c r="AC60" s="377" t="s">
        <v>324</v>
      </c>
      <c r="AD60" s="377"/>
      <c r="AE60" s="377"/>
      <c r="AG60" s="386"/>
      <c r="AH60" s="386"/>
      <c r="AI60" s="386"/>
      <c r="AJ60" s="386"/>
      <c r="AK60" s="386"/>
    </row>
    <row r="61" spans="2:38" x14ac:dyDescent="0.55000000000000004">
      <c r="B61" s="420" t="s">
        <v>38</v>
      </c>
      <c r="E61" s="421"/>
      <c r="F61" s="387"/>
      <c r="G61" s="387"/>
      <c r="H61" s="387"/>
      <c r="M61" s="372" t="s">
        <v>261</v>
      </c>
      <c r="N61" s="373"/>
      <c r="O61" s="418" t="s">
        <v>38</v>
      </c>
      <c r="P61" s="373"/>
      <c r="Q61" s="373"/>
      <c r="R61" s="413"/>
      <c r="S61" s="389"/>
      <c r="T61" s="389"/>
      <c r="U61" s="389"/>
      <c r="V61" s="373"/>
      <c r="W61" s="373"/>
      <c r="X61" s="373"/>
      <c r="Y61" s="373"/>
      <c r="Z61" s="377" t="str" cm="1">
        <f t="array" ref="Z61">_xlfn.IFS($S$4="uwv","",$S$4="tijduwv","",AN33=0,"",$S$4="ontslag","Ontbinding wegens ernstig verwijtbaar handelen",NOT(R41="n.v.t."),"Ontbinding op andere grond",TRUE,"Ontbinding op een enkele grond")</f>
        <v/>
      </c>
      <c r="AA61" s="377"/>
      <c r="AB61" s="377"/>
      <c r="AC61" s="377" t="s">
        <v>325</v>
      </c>
      <c r="AD61" s="377"/>
      <c r="AE61" s="377"/>
      <c r="AG61" s="386"/>
      <c r="AH61" s="386"/>
      <c r="AI61" s="386"/>
      <c r="AJ61" s="386"/>
      <c r="AK61" s="386"/>
    </row>
    <row r="62" spans="2:38" x14ac:dyDescent="0.55000000000000004">
      <c r="B62" s="371" t="s">
        <v>10</v>
      </c>
      <c r="E62" s="421">
        <v>0</v>
      </c>
      <c r="M62" s="372" t="s">
        <v>261</v>
      </c>
      <c r="N62" s="373"/>
      <c r="O62" s="373" t="s">
        <v>10</v>
      </c>
      <c r="P62" s="373"/>
      <c r="Q62" s="373"/>
      <c r="R62" s="392" cm="1">
        <f t="array" ref="R62">_xlfn.IFS(S4="UWV",0,S4="tijduwv",0,TRUE,Ontslagregeling!Z35)</f>
        <v>0</v>
      </c>
      <c r="S62" s="373"/>
      <c r="T62" s="373"/>
      <c r="U62" s="373"/>
      <c r="V62" s="373"/>
      <c r="W62" s="373"/>
      <c r="X62" s="373"/>
      <c r="Y62" s="373"/>
      <c r="Z62" s="377" t="str" cm="1">
        <f t="array" ref="Z62">_xlfn.IFS($S$4="uwv","",$S$4="tijduwv","",AN33=0,"",TRUE,"Ontbinding op een combinatie van gronden")</f>
        <v/>
      </c>
      <c r="AA62" s="377"/>
      <c r="AB62" s="377"/>
      <c r="AC62" s="377" t="s">
        <v>326</v>
      </c>
      <c r="AD62" s="377"/>
      <c r="AE62" s="377"/>
      <c r="AG62" s="386"/>
      <c r="AH62" s="386"/>
      <c r="AI62" s="386"/>
      <c r="AJ62" s="386"/>
      <c r="AK62" s="386"/>
    </row>
    <row r="63" spans="2:38" x14ac:dyDescent="0.55000000000000004">
      <c r="B63" s="420" t="s">
        <v>36</v>
      </c>
      <c r="D63" s="380"/>
      <c r="E63" s="412" t="e">
        <f>E44+E56+E49</f>
        <v>#REF!</v>
      </c>
      <c r="F63" s="395"/>
      <c r="M63" s="372" t="s">
        <v>261</v>
      </c>
      <c r="N63" s="373"/>
      <c r="O63" s="418" t="s">
        <v>36</v>
      </c>
      <c r="P63" s="373"/>
      <c r="Q63" s="382"/>
      <c r="R63" s="415">
        <f ca="1">R44+R45+R46+R56+R49+R62</f>
        <v>0</v>
      </c>
      <c r="S63" s="414"/>
      <c r="T63" s="373"/>
      <c r="U63" s="373"/>
      <c r="V63" s="373"/>
      <c r="W63" s="373"/>
      <c r="X63" s="373"/>
      <c r="Y63" s="373"/>
      <c r="Z63" s="371" t="str" cm="1">
        <f t="array" ref="Z63">_xlfn.IFS($S$4="uwv","",$S$4="tijduwv","",AN33=0,"",TRUE,"Ontbinding op een combinatie van gronden")</f>
        <v/>
      </c>
      <c r="AG63" s="386"/>
      <c r="AH63" s="386"/>
      <c r="AI63" s="386"/>
      <c r="AJ63" s="386"/>
      <c r="AK63" s="386"/>
    </row>
    <row r="64" spans="2:38" x14ac:dyDescent="0.55000000000000004">
      <c r="B64" s="380"/>
      <c r="D64" s="380"/>
      <c r="E64" s="412"/>
      <c r="F64" s="395"/>
      <c r="G64" s="371">
        <f ca="1">TODAY()</f>
        <v>44063</v>
      </c>
      <c r="H64" s="371" t="s">
        <v>303</v>
      </c>
      <c r="M64" s="372" t="s">
        <v>261</v>
      </c>
      <c r="N64" s="373"/>
      <c r="O64" s="382" t="s">
        <v>274</v>
      </c>
      <c r="P64" s="373"/>
      <c r="Q64" s="382"/>
      <c r="R64" s="415"/>
      <c r="S64" s="418">
        <f ca="1">R44+R56+R49+AE13-W32</f>
        <v>0</v>
      </c>
      <c r="T64" s="373"/>
      <c r="U64" s="373"/>
      <c r="V64" s="373"/>
      <c r="W64" s="373"/>
      <c r="X64" s="373"/>
      <c r="Y64" s="373"/>
      <c r="AF64" s="380" t="s">
        <v>442</v>
      </c>
      <c r="AH64" s="380" t="s">
        <v>441</v>
      </c>
    </row>
    <row r="65" spans="1:124" s="378" customFormat="1" x14ac:dyDescent="0.55000000000000004">
      <c r="Z65" s="431" t="s">
        <v>440</v>
      </c>
      <c r="AD65" s="432" cm="1">
        <f t="array" aca="1" ref="AD65" ca="1">ROUND(_xlfn.IFS(AD45&gt;AD28,AD28,TRUE,AD45),0)</f>
        <v>0</v>
      </c>
      <c r="AF65" s="378" t="str" cm="1">
        <f t="array" aca="1" ref="AF65" ca="1">_xlfn.IFS(AN33=0,"",R33=0,"",TRUE,"Advies voor de onderhandeling:")</f>
        <v/>
      </c>
      <c r="AH65" s="378" t="str" cm="1">
        <f t="array" aca="1" ref="AH65" ca="1">_xlfn.IFS(AN33=0,"",R33=0,"",S4="tijduwv",AA68,S4="tijdontb",AA68,S4="UWV",AA68,S4="ontb",AA68,TRUE,_xlfn.IFS(R44&gt;0,AH66,TRUE,AA66))</f>
        <v/>
      </c>
      <c r="DP65" s="433"/>
      <c r="DQ65" s="433"/>
      <c r="DT65" s="433"/>
    </row>
    <row r="66" spans="1:124" s="378" customFormat="1" ht="18.3" x14ac:dyDescent="0.7">
      <c r="A66" s="434" t="s">
        <v>192</v>
      </c>
      <c r="B66" s="371"/>
      <c r="C66" s="371"/>
      <c r="D66" s="435" t="s">
        <v>197</v>
      </c>
      <c r="E66" s="371"/>
      <c r="F66" s="402" t="s">
        <v>114</v>
      </c>
      <c r="G66" s="380" t="s">
        <v>233</v>
      </c>
      <c r="H66" s="381" t="e" cm="1">
        <f t="array" ref="H66">_xlfn.IFS(#REF!=0,G64,TRUE,#REF!)</f>
        <v>#REF!</v>
      </c>
      <c r="I66" s="412" t="s">
        <v>194</v>
      </c>
      <c r="J66" s="381" t="e" cm="1">
        <f t="array" ref="J66">_xlfn.IFS(#REF!=0,G64,TRUE,#REF!)</f>
        <v>#REF!</v>
      </c>
      <c r="K66" s="381"/>
      <c r="L66" s="380" t="s">
        <v>231</v>
      </c>
      <c r="M66" s="381" t="e">
        <f>#REF!</f>
        <v>#REF!</v>
      </c>
      <c r="N66" s="380" t="s">
        <v>251</v>
      </c>
      <c r="O66" s="371"/>
      <c r="P66" s="381" t="e">
        <f>#REF!</f>
        <v>#REF!</v>
      </c>
      <c r="Y66" s="378" t="s">
        <v>540</v>
      </c>
      <c r="Z66" s="378" t="s">
        <v>439</v>
      </c>
      <c r="AA66" s="433" t="str">
        <f ca="1">"Uit dienst per "&amp;U22&amp;" zonder een vergoeding."</f>
        <v>Uit dienst per 01 januari 2021 zonder een vergoeding.</v>
      </c>
      <c r="AH66" s="378" t="str">
        <f ca="1">"Uit dienst per "&amp;U22&amp;" en eventueel een vergoeding tussen de € "&amp;R36&amp;",- en € "&amp;AD65&amp;",-"</f>
        <v>Uit dienst per 01 januari 2021 en eventueel een vergoeding tussen de € 0,- en € 0,-</v>
      </c>
      <c r="DP66" s="433"/>
      <c r="DQ66" s="433"/>
      <c r="DT66" s="433"/>
    </row>
    <row r="67" spans="1:124" x14ac:dyDescent="0.55000000000000004">
      <c r="A67" s="378"/>
      <c r="B67" s="436"/>
      <c r="C67" s="378"/>
      <c r="D67" s="436"/>
      <c r="E67" s="378"/>
      <c r="F67" s="402" t="e">
        <f>Stappenplan!#REF!</f>
        <v>#REF!</v>
      </c>
      <c r="G67" s="380" t="s">
        <v>402</v>
      </c>
      <c r="H67" s="381">
        <f ca="1">TODAY()</f>
        <v>44063</v>
      </c>
      <c r="I67" s="380" t="s">
        <v>403</v>
      </c>
      <c r="J67" s="371" t="str">
        <f ca="1">TEXT(H67,"dd mmmm jjjj")</f>
        <v>20 augustus 2020</v>
      </c>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Q67" s="378"/>
      <c r="CR67" s="378"/>
      <c r="CS67" s="378"/>
      <c r="CT67" s="378"/>
      <c r="CU67" s="378"/>
      <c r="CV67" s="378"/>
    </row>
    <row r="68" spans="1:124" s="377" customFormat="1" x14ac:dyDescent="0.55000000000000004">
      <c r="A68" s="436"/>
      <c r="B68" s="437"/>
      <c r="C68" s="438"/>
      <c r="D68" s="438"/>
      <c r="E68" s="438"/>
      <c r="F68" s="438"/>
      <c r="G68" s="438"/>
      <c r="H68" s="438"/>
      <c r="I68" s="438"/>
      <c r="J68" s="438"/>
      <c r="K68" s="438"/>
      <c r="L68" s="438"/>
      <c r="M68" s="438"/>
      <c r="N68" s="438"/>
      <c r="O68" s="436"/>
      <c r="P68" s="436"/>
      <c r="Q68" s="436"/>
      <c r="R68" s="436"/>
      <c r="S68" s="436"/>
      <c r="T68" s="436"/>
      <c r="U68" s="436"/>
      <c r="V68" s="436"/>
      <c r="W68" s="436"/>
      <c r="X68" s="436"/>
      <c r="Y68" s="436" t="s">
        <v>541</v>
      </c>
      <c r="Z68" s="436" t="s">
        <v>439</v>
      </c>
      <c r="AA68" s="378" t="str">
        <f ca="1">"Uit dienst per "&amp;U22&amp;"  en een vergoeding tussen de € "&amp;R44&amp;",- en € "&amp;AD65&amp;",- bruto."</f>
        <v>Uit dienst per 01 januari 2021  en een vergoeding tussen de € 0,- en € 0,- bruto.</v>
      </c>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c r="CB68" s="436"/>
      <c r="CC68" s="436"/>
      <c r="CD68" s="436"/>
      <c r="CE68" s="436"/>
      <c r="CF68" s="436"/>
      <c r="CG68" s="436"/>
      <c r="CH68" s="436"/>
      <c r="CI68" s="436"/>
      <c r="CJ68" s="436"/>
      <c r="CK68" s="436"/>
      <c r="CL68" s="436"/>
      <c r="CM68" s="436"/>
      <c r="CN68" s="436"/>
      <c r="CO68" s="436"/>
      <c r="CP68" s="436"/>
      <c r="CQ68" s="436"/>
      <c r="CR68" s="436"/>
      <c r="CS68" s="436"/>
      <c r="CT68" s="436"/>
      <c r="CU68" s="436"/>
      <c r="CV68" s="436"/>
      <c r="DP68" s="439"/>
      <c r="DQ68" s="439"/>
      <c r="DT68" s="439"/>
    </row>
    <row r="69" spans="1:124" s="378" customFormat="1" ht="57.6" x14ac:dyDescent="0.55000000000000004">
      <c r="A69" s="440" t="e">
        <f>#REF!</f>
        <v>#REF!</v>
      </c>
      <c r="B69" s="440" t="s">
        <v>94</v>
      </c>
      <c r="C69" s="440" t="s">
        <v>108</v>
      </c>
      <c r="D69" s="440" t="s">
        <v>610</v>
      </c>
      <c r="E69" s="440" t="s">
        <v>611</v>
      </c>
      <c r="F69" s="440" t="s">
        <v>109</v>
      </c>
      <c r="G69" s="440" t="s">
        <v>116</v>
      </c>
      <c r="H69" s="440" t="s">
        <v>110</v>
      </c>
      <c r="I69" s="440" t="s">
        <v>88</v>
      </c>
      <c r="J69" s="440" t="s">
        <v>98</v>
      </c>
      <c r="K69" s="440" t="s">
        <v>378</v>
      </c>
      <c r="L69" s="440" t="s">
        <v>379</v>
      </c>
      <c r="M69" s="440">
        <v>0</v>
      </c>
      <c r="N69" s="440" t="s">
        <v>377</v>
      </c>
      <c r="O69" s="440" t="s">
        <v>113</v>
      </c>
      <c r="P69" s="378" t="s">
        <v>495</v>
      </c>
      <c r="DP69" s="433"/>
      <c r="DQ69" s="433"/>
      <c r="DT69" s="433"/>
    </row>
    <row r="70" spans="1:124" s="377" customFormat="1" x14ac:dyDescent="0.55000000000000004">
      <c r="A70" s="381"/>
      <c r="B70" s="381"/>
      <c r="C70" s="381" t="s">
        <v>777</v>
      </c>
      <c r="D70" s="421" t="s">
        <v>789</v>
      </c>
      <c r="E70" s="381" t="s">
        <v>779</v>
      </c>
      <c r="F70" s="381" t="s">
        <v>778</v>
      </c>
      <c r="G70" s="381" t="s">
        <v>117</v>
      </c>
      <c r="H70" s="381" t="s">
        <v>119</v>
      </c>
      <c r="I70" s="381" t="s">
        <v>122</v>
      </c>
      <c r="J70" s="381">
        <v>33348</v>
      </c>
      <c r="K70" s="381">
        <v>42461</v>
      </c>
      <c r="L70" s="381" t="s">
        <v>779</v>
      </c>
      <c r="M70" s="381" t="s">
        <v>779</v>
      </c>
      <c r="N70" s="381" t="s">
        <v>118</v>
      </c>
      <c r="O70" s="440">
        <v>1</v>
      </c>
      <c r="P70" s="377">
        <v>38</v>
      </c>
      <c r="R70" s="394"/>
      <c r="S70" s="394"/>
      <c r="T70" s="394"/>
      <c r="U70" s="394"/>
      <c r="V70" s="394"/>
      <c r="W70" s="394"/>
      <c r="X70" s="394"/>
      <c r="Y70" s="394"/>
      <c r="Z70" s="394"/>
      <c r="AA70" s="394"/>
      <c r="AB70" s="394"/>
      <c r="AC70" s="394"/>
      <c r="AD70" s="394"/>
      <c r="AE70" s="394"/>
      <c r="AF70" s="394"/>
      <c r="AG70" s="394"/>
      <c r="AH70" s="394"/>
      <c r="AI70" s="394"/>
      <c r="AJ70" s="394"/>
      <c r="AK70" s="438"/>
      <c r="AL70" s="438"/>
      <c r="AM70" s="438"/>
      <c r="AN70" s="438"/>
      <c r="AO70" s="441"/>
      <c r="AP70" s="441"/>
      <c r="AQ70" s="441"/>
      <c r="AR70" s="441"/>
      <c r="AS70" s="441"/>
      <c r="AT70" s="441"/>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6"/>
      <c r="BY70" s="436"/>
      <c r="BZ70" s="436"/>
      <c r="CA70" s="436"/>
      <c r="CB70" s="436"/>
      <c r="CC70" s="436"/>
      <c r="CD70" s="436"/>
      <c r="CE70" s="436"/>
      <c r="CF70" s="436"/>
      <c r="CG70" s="436"/>
      <c r="CH70" s="436"/>
      <c r="CI70" s="436"/>
      <c r="CJ70" s="436"/>
      <c r="CK70" s="436"/>
      <c r="CL70" s="436"/>
      <c r="CM70" s="436"/>
      <c r="CN70" s="436"/>
      <c r="CO70" s="436"/>
      <c r="CP70" s="436"/>
      <c r="CQ70" s="436"/>
      <c r="CR70" s="436"/>
      <c r="CS70" s="436"/>
      <c r="CT70" s="436"/>
      <c r="CU70" s="436"/>
      <c r="CV70" s="436"/>
      <c r="DP70" s="439"/>
      <c r="DQ70" s="439"/>
      <c r="DT70" s="439"/>
    </row>
    <row r="71" spans="1:124" s="440" customFormat="1" x14ac:dyDescent="0.55000000000000004">
      <c r="C71" s="440" t="s">
        <v>198</v>
      </c>
      <c r="D71" s="440" t="s">
        <v>81</v>
      </c>
      <c r="E71" s="440" t="s">
        <v>489</v>
      </c>
      <c r="G71" s="440" t="s">
        <v>101</v>
      </c>
      <c r="H71" s="440" t="s">
        <v>100</v>
      </c>
      <c r="I71" s="440" t="s">
        <v>83</v>
      </c>
      <c r="J71" s="440" t="s">
        <v>89</v>
      </c>
      <c r="K71" s="440" t="s">
        <v>210</v>
      </c>
      <c r="L71" s="378" t="s">
        <v>490</v>
      </c>
      <c r="M71" s="378"/>
      <c r="N71" s="432"/>
      <c r="P71" s="442"/>
      <c r="Q71" s="442"/>
      <c r="AK71" s="442"/>
      <c r="AL71" s="442"/>
      <c r="AM71" s="442"/>
      <c r="AN71" s="442"/>
      <c r="AO71" s="442"/>
      <c r="AP71" s="442"/>
      <c r="AQ71" s="442"/>
      <c r="AR71" s="442"/>
      <c r="AS71" s="442"/>
      <c r="AT71" s="442"/>
      <c r="AU71" s="442"/>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43"/>
      <c r="BY71" s="443"/>
      <c r="BZ71" s="443"/>
      <c r="CA71" s="443"/>
      <c r="CB71" s="443"/>
      <c r="CC71" s="443"/>
      <c r="CD71" s="443"/>
      <c r="CE71" s="443"/>
      <c r="CF71" s="443"/>
      <c r="CG71" s="444"/>
      <c r="CH71" s="445"/>
      <c r="CI71" s="445"/>
      <c r="CJ71" s="445"/>
      <c r="CK71" s="443"/>
      <c r="CL71" s="442"/>
      <c r="CM71" s="442"/>
      <c r="CN71" s="442"/>
      <c r="CO71" s="442"/>
      <c r="CP71" s="442"/>
      <c r="CQ71" s="442"/>
      <c r="CR71" s="442"/>
      <c r="CS71" s="442"/>
      <c r="DP71" s="446"/>
      <c r="DQ71" s="446"/>
      <c r="DT71" s="446"/>
    </row>
    <row r="72" spans="1:124" ht="15.3" customHeight="1" x14ac:dyDescent="0.55000000000000004">
      <c r="A72" s="381" t="e">
        <f>VLOOKUP($F$67,#REF!,12,FALSE)</f>
        <v>#REF!</v>
      </c>
      <c r="B72" s="381" t="s">
        <v>779</v>
      </c>
      <c r="C72" s="381" t="s">
        <v>200</v>
      </c>
      <c r="D72" s="381" t="s">
        <v>486</v>
      </c>
      <c r="E72" s="371" t="s">
        <v>780</v>
      </c>
      <c r="F72" s="381"/>
      <c r="G72" s="381" t="s">
        <v>204</v>
      </c>
      <c r="H72" s="381">
        <v>32</v>
      </c>
      <c r="I72" s="381" t="s">
        <v>779</v>
      </c>
      <c r="J72" s="381" t="s">
        <v>212</v>
      </c>
      <c r="K72" s="447" t="s">
        <v>211</v>
      </c>
      <c r="L72" s="378" t="s">
        <v>95</v>
      </c>
      <c r="M72" s="378"/>
      <c r="N72" s="378"/>
      <c r="O72" s="378"/>
      <c r="P72" s="378"/>
      <c r="Q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Q72" s="378"/>
      <c r="CR72" s="378"/>
      <c r="CS72" s="378"/>
      <c r="CT72" s="378"/>
      <c r="CU72" s="378"/>
      <c r="CV72" s="378"/>
    </row>
    <row r="73" spans="1:124" s="381" customFormat="1" ht="72" x14ac:dyDescent="0.55000000000000004">
      <c r="A73" s="440" t="e">
        <f>#REF!</f>
        <v>#REF!</v>
      </c>
      <c r="B73" s="440" t="s">
        <v>215</v>
      </c>
      <c r="C73" s="440" t="s">
        <v>213</v>
      </c>
      <c r="D73" s="440" t="s">
        <v>216</v>
      </c>
      <c r="E73" s="440" t="s">
        <v>1</v>
      </c>
      <c r="F73" s="440" t="s">
        <v>218</v>
      </c>
      <c r="G73" s="440" t="s">
        <v>612</v>
      </c>
      <c r="H73" s="440" t="s">
        <v>214</v>
      </c>
      <c r="I73" s="440" t="s">
        <v>217</v>
      </c>
      <c r="J73" s="440" t="s">
        <v>219</v>
      </c>
      <c r="K73" s="440" t="s">
        <v>220</v>
      </c>
      <c r="L73" s="440" t="s">
        <v>99</v>
      </c>
      <c r="M73" s="440" t="s">
        <v>221</v>
      </c>
      <c r="N73" s="448" t="s">
        <v>222</v>
      </c>
      <c r="O73" s="448" t="s">
        <v>493</v>
      </c>
      <c r="P73" s="448" t="s">
        <v>494</v>
      </c>
      <c r="Q73" s="432"/>
      <c r="AK73" s="432"/>
      <c r="AL73" s="432"/>
      <c r="AM73" s="432"/>
      <c r="AN73" s="432"/>
      <c r="AO73" s="432"/>
      <c r="AP73" s="432"/>
      <c r="AQ73" s="432"/>
      <c r="AR73" s="432"/>
      <c r="AS73" s="432"/>
      <c r="AT73" s="432"/>
      <c r="AU73" s="432"/>
      <c r="AV73" s="432"/>
      <c r="AW73" s="432"/>
      <c r="AX73" s="432"/>
      <c r="AY73" s="432"/>
      <c r="AZ73" s="378"/>
      <c r="BA73" s="378"/>
      <c r="BB73" s="378"/>
      <c r="BC73" s="378"/>
      <c r="BD73" s="378"/>
      <c r="BE73" s="378"/>
      <c r="BF73" s="378"/>
      <c r="BG73" s="378"/>
      <c r="BH73" s="378"/>
      <c r="BI73" s="378"/>
      <c r="BJ73" s="378"/>
      <c r="BK73" s="378"/>
      <c r="BL73" s="378"/>
      <c r="BM73" s="378"/>
      <c r="BN73" s="378"/>
      <c r="CB73" s="378"/>
      <c r="CH73" s="432"/>
      <c r="CI73" s="378"/>
      <c r="CJ73" s="378"/>
      <c r="CK73" s="378"/>
      <c r="CL73" s="378"/>
      <c r="CM73" s="378"/>
      <c r="CN73" s="378"/>
      <c r="CO73" s="378"/>
      <c r="CP73" s="378"/>
      <c r="CQ73" s="378"/>
      <c r="CR73" s="378"/>
      <c r="CS73" s="378"/>
      <c r="CT73" s="378"/>
      <c r="CU73" s="378"/>
      <c r="CV73" s="378"/>
      <c r="CW73" s="371"/>
      <c r="CX73" s="398"/>
      <c r="CY73" s="392"/>
      <c r="CZ73" s="392"/>
      <c r="DA73" s="392"/>
      <c r="DB73" s="392"/>
      <c r="DC73" s="392"/>
      <c r="DD73" s="392"/>
      <c r="DE73" s="398"/>
      <c r="DF73" s="398"/>
      <c r="DP73" s="379"/>
      <c r="DQ73" s="379"/>
      <c r="DT73" s="379"/>
    </row>
    <row r="74" spans="1:124" x14ac:dyDescent="0.55000000000000004">
      <c r="A74" s="381" t="e">
        <f>VLOOKUP($F$67,#REF!,25,FALSE)</f>
        <v>#REF!</v>
      </c>
      <c r="B74" s="381">
        <v>2100</v>
      </c>
      <c r="C74" s="381">
        <v>8</v>
      </c>
      <c r="D74" s="381">
        <v>250</v>
      </c>
      <c r="E74" s="381">
        <v>2100</v>
      </c>
      <c r="F74" s="381">
        <v>0</v>
      </c>
      <c r="G74" s="381">
        <v>2883</v>
      </c>
      <c r="H74" s="381">
        <v>18983</v>
      </c>
      <c r="I74" s="381">
        <v>0</v>
      </c>
      <c r="J74" s="381">
        <v>180</v>
      </c>
      <c r="K74" s="381">
        <v>25</v>
      </c>
      <c r="L74" s="381">
        <v>543215432</v>
      </c>
      <c r="M74" s="381">
        <v>0</v>
      </c>
      <c r="N74" s="448">
        <v>0</v>
      </c>
      <c r="O74" s="449" t="s">
        <v>76</v>
      </c>
      <c r="P74" s="450" t="s">
        <v>76</v>
      </c>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Z74" s="378"/>
      <c r="BA74" s="378"/>
      <c r="BB74" s="378"/>
      <c r="BC74" s="378"/>
      <c r="BD74" s="378"/>
      <c r="BE74" s="378"/>
      <c r="BF74" s="378"/>
      <c r="BG74" s="378"/>
      <c r="BH74" s="378"/>
      <c r="BI74" s="378"/>
      <c r="BJ74" s="378"/>
      <c r="BK74" s="378"/>
      <c r="BL74" s="378"/>
      <c r="BM74" s="378"/>
      <c r="BN74" s="378"/>
      <c r="CB74" s="378"/>
      <c r="CC74" s="381"/>
      <c r="CD74" s="381"/>
      <c r="CE74" s="381"/>
      <c r="CF74" s="381"/>
      <c r="CG74" s="381"/>
      <c r="CH74" s="381"/>
      <c r="CK74" s="378"/>
      <c r="CL74" s="378"/>
      <c r="CM74" s="378"/>
      <c r="CN74" s="378"/>
      <c r="CO74" s="378"/>
      <c r="CQ74" s="378"/>
      <c r="CR74" s="378"/>
      <c r="CS74" s="378"/>
      <c r="CT74" s="378"/>
      <c r="CU74" s="378"/>
      <c r="CV74" s="378"/>
      <c r="CX74" s="398"/>
      <c r="CY74" s="392"/>
      <c r="CZ74" s="392"/>
      <c r="DA74" s="392"/>
      <c r="DB74" s="392"/>
      <c r="DC74" s="392"/>
      <c r="DD74" s="392"/>
      <c r="DE74" s="398"/>
      <c r="DF74" s="398"/>
    </row>
    <row r="75" spans="1:124" x14ac:dyDescent="0.55000000000000004">
      <c r="A75" s="380" t="s">
        <v>227</v>
      </c>
      <c r="B75" s="380" t="s">
        <v>227</v>
      </c>
      <c r="C75" s="380" t="s">
        <v>228</v>
      </c>
      <c r="D75" s="380" t="s">
        <v>229</v>
      </c>
      <c r="E75" s="380" t="s">
        <v>230</v>
      </c>
      <c r="F75" s="380" t="s">
        <v>226</v>
      </c>
      <c r="G75" s="380" t="s">
        <v>235</v>
      </c>
      <c r="H75" s="380" t="s">
        <v>332</v>
      </c>
      <c r="I75" s="378" t="s">
        <v>249</v>
      </c>
      <c r="J75" s="380"/>
      <c r="K75" s="371" t="s">
        <v>496</v>
      </c>
      <c r="L75" s="380"/>
      <c r="M75" s="378" t="s">
        <v>497</v>
      </c>
      <c r="N75" s="378"/>
      <c r="O75" s="378"/>
      <c r="P75" s="378"/>
      <c r="Q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Z75" s="378"/>
      <c r="BA75" s="378"/>
      <c r="BB75" s="378"/>
      <c r="BC75" s="378"/>
      <c r="BD75" s="378"/>
      <c r="BE75" s="378"/>
      <c r="BF75" s="378"/>
      <c r="BG75" s="378"/>
      <c r="BH75" s="378"/>
      <c r="BI75" s="378"/>
      <c r="BJ75" s="378"/>
      <c r="BK75" s="378"/>
      <c r="BL75" s="378"/>
      <c r="BM75" s="378"/>
      <c r="BN75" s="378"/>
      <c r="CB75" s="378"/>
      <c r="CC75" s="381"/>
      <c r="CD75" s="381"/>
      <c r="CE75" s="381"/>
      <c r="CF75" s="381"/>
      <c r="CG75" s="381"/>
      <c r="CH75" s="381"/>
      <c r="CK75" s="378"/>
      <c r="CL75" s="378"/>
      <c r="CM75" s="378"/>
      <c r="CN75" s="378"/>
      <c r="CO75" s="378"/>
      <c r="CQ75" s="378"/>
      <c r="CR75" s="378"/>
      <c r="CS75" s="378"/>
      <c r="CT75" s="378"/>
      <c r="CU75" s="378"/>
      <c r="CV75" s="378"/>
      <c r="CX75" s="398"/>
      <c r="CY75" s="392"/>
      <c r="CZ75" s="392"/>
      <c r="DA75" s="392"/>
      <c r="DB75" s="392"/>
      <c r="DC75" s="392"/>
      <c r="DD75" s="392"/>
      <c r="DE75" s="398"/>
      <c r="DF75" s="398"/>
    </row>
    <row r="76" spans="1:124" x14ac:dyDescent="0.55000000000000004">
      <c r="A76" s="381" t="e">
        <f>VLOOKUP($F$67,#REF!,40,FALSE)</f>
        <v>#REF!</v>
      </c>
      <c r="B76" s="381" t="s">
        <v>95</v>
      </c>
      <c r="C76" s="381" t="s">
        <v>95</v>
      </c>
      <c r="D76" s="381" t="s">
        <v>95</v>
      </c>
      <c r="E76" s="381" t="s">
        <v>95</v>
      </c>
      <c r="F76" s="371" t="s">
        <v>95</v>
      </c>
      <c r="G76" s="381" t="s">
        <v>95</v>
      </c>
      <c r="H76" s="381">
        <v>0</v>
      </c>
      <c r="I76" s="378" t="s">
        <v>95</v>
      </c>
      <c r="J76" s="381"/>
      <c r="K76" s="378" t="s">
        <v>776</v>
      </c>
      <c r="M76" s="378">
        <v>44061.4</v>
      </c>
      <c r="N76" s="378"/>
      <c r="O76" s="378"/>
      <c r="P76" s="378"/>
      <c r="Q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Z76" s="378"/>
      <c r="BA76" s="378"/>
      <c r="BB76" s="378"/>
      <c r="BC76" s="378"/>
      <c r="BD76" s="378"/>
      <c r="BE76" s="378"/>
      <c r="BF76" s="378"/>
      <c r="BG76" s="378"/>
      <c r="BH76" s="378"/>
      <c r="BI76" s="378"/>
      <c r="BJ76" s="378"/>
      <c r="BK76" s="378"/>
      <c r="BL76" s="378"/>
      <c r="BM76" s="378"/>
      <c r="BN76" s="378"/>
      <c r="CC76" s="381"/>
      <c r="CD76" s="381"/>
      <c r="CE76" s="381"/>
      <c r="CF76" s="381"/>
      <c r="CG76" s="381"/>
      <c r="CH76" s="381"/>
      <c r="CK76" s="378"/>
      <c r="CL76" s="378"/>
      <c r="CM76" s="378"/>
      <c r="CN76" s="378"/>
      <c r="CO76" s="378"/>
      <c r="CQ76" s="378"/>
      <c r="CR76" s="378"/>
      <c r="CS76" s="378"/>
      <c r="CT76" s="378"/>
      <c r="CU76" s="378"/>
      <c r="CV76" s="378"/>
      <c r="CX76" s="398"/>
      <c r="CY76" s="392"/>
      <c r="CZ76" s="392"/>
      <c r="DA76" s="392"/>
      <c r="DB76" s="392"/>
      <c r="DC76" s="392"/>
      <c r="DD76" s="392"/>
      <c r="DE76" s="398"/>
      <c r="DF76" s="398"/>
    </row>
    <row r="77" spans="1:124" x14ac:dyDescent="0.55000000000000004">
      <c r="A77" s="378"/>
      <c r="B77" s="378"/>
      <c r="C77" s="378"/>
      <c r="D77" s="378"/>
      <c r="E77" s="378"/>
      <c r="F77" s="378"/>
      <c r="G77" s="378"/>
      <c r="H77" s="378"/>
      <c r="I77" s="378"/>
      <c r="J77" s="378"/>
      <c r="K77" s="378"/>
      <c r="L77" s="378"/>
      <c r="M77" s="378"/>
      <c r="N77" s="378"/>
      <c r="O77" s="378"/>
      <c r="P77" s="378"/>
      <c r="Q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Z77" s="378"/>
      <c r="BA77" s="378"/>
      <c r="BB77" s="378"/>
      <c r="BC77" s="378"/>
      <c r="BD77" s="378"/>
      <c r="BE77" s="378"/>
      <c r="BF77" s="378"/>
      <c r="BG77" s="378"/>
      <c r="BH77" s="378"/>
      <c r="BI77" s="378"/>
      <c r="BJ77" s="378"/>
      <c r="BK77" s="378"/>
      <c r="BL77" s="378"/>
      <c r="BM77" s="378"/>
      <c r="BN77" s="378"/>
      <c r="CB77" s="378"/>
      <c r="CC77" s="451"/>
      <c r="CD77" s="381"/>
      <c r="CE77" s="381"/>
      <c r="CF77" s="381"/>
      <c r="CG77" s="381"/>
      <c r="CH77" s="381"/>
      <c r="CJ77" s="421"/>
      <c r="CK77" s="378"/>
      <c r="CL77" s="378"/>
      <c r="CM77" s="378"/>
      <c r="CN77" s="378"/>
      <c r="CO77" s="378"/>
      <c r="CQ77" s="378"/>
      <c r="CR77" s="378"/>
      <c r="CS77" s="378"/>
      <c r="CT77" s="378"/>
      <c r="CU77" s="378"/>
      <c r="CV77" s="378"/>
      <c r="CX77" s="398"/>
      <c r="CY77" s="452"/>
      <c r="CZ77" s="392"/>
      <c r="DA77" s="392"/>
      <c r="DB77" s="392"/>
      <c r="DC77" s="392"/>
      <c r="DD77" s="392"/>
      <c r="DE77" s="398"/>
      <c r="DF77" s="427"/>
    </row>
    <row r="78" spans="1:124" x14ac:dyDescent="0.55000000000000004">
      <c r="A78" s="380" t="s">
        <v>381</v>
      </c>
      <c r="B78" s="380" t="s">
        <v>381</v>
      </c>
      <c r="C78" s="380" t="s">
        <v>382</v>
      </c>
      <c r="D78" s="380" t="s">
        <v>384</v>
      </c>
      <c r="E78" s="380" t="s">
        <v>380</v>
      </c>
      <c r="F78" s="380" t="s">
        <v>365</v>
      </c>
      <c r="G78" s="380" t="s">
        <v>383</v>
      </c>
      <c r="H78" s="380" t="s">
        <v>415</v>
      </c>
      <c r="I78" s="380" t="s">
        <v>393</v>
      </c>
      <c r="J78" s="380" t="s">
        <v>392</v>
      </c>
      <c r="K78" s="371" t="s">
        <v>272</v>
      </c>
      <c r="L78" s="380"/>
      <c r="M78" s="371" t="s">
        <v>404</v>
      </c>
      <c r="N78" s="380"/>
      <c r="O78" s="371" t="s">
        <v>405</v>
      </c>
      <c r="P78" s="378"/>
      <c r="Q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Z78" s="378"/>
      <c r="BA78" s="378"/>
      <c r="BB78" s="378"/>
      <c r="BC78" s="378"/>
      <c r="BD78" s="378"/>
      <c r="BE78" s="378"/>
      <c r="BF78" s="378"/>
      <c r="BG78" s="378"/>
      <c r="BH78" s="378"/>
      <c r="BI78" s="378"/>
      <c r="BJ78" s="378"/>
      <c r="BK78" s="378"/>
      <c r="BL78" s="378"/>
      <c r="BM78" s="378"/>
      <c r="BN78" s="378"/>
      <c r="CB78" s="378"/>
      <c r="CC78" s="378"/>
      <c r="CD78" s="378"/>
      <c r="CE78" s="378"/>
      <c r="CF78" s="378"/>
      <c r="CG78" s="378"/>
      <c r="CH78" s="432"/>
      <c r="CI78" s="378"/>
      <c r="CJ78" s="441"/>
      <c r="CK78" s="378"/>
      <c r="CL78" s="378"/>
      <c r="CM78" s="378"/>
      <c r="CN78" s="378"/>
      <c r="CO78" s="378"/>
      <c r="CQ78" s="378"/>
      <c r="CR78" s="378"/>
      <c r="CS78" s="378"/>
      <c r="CT78" s="378"/>
      <c r="CU78" s="378"/>
      <c r="CV78" s="378"/>
      <c r="CX78" s="398"/>
      <c r="CY78" s="398"/>
      <c r="CZ78" s="398"/>
      <c r="DA78" s="398"/>
      <c r="DB78" s="398"/>
      <c r="DC78" s="398"/>
      <c r="DD78" s="392"/>
      <c r="DE78" s="398"/>
      <c r="DF78" s="427"/>
    </row>
    <row r="79" spans="1:124" x14ac:dyDescent="0.55000000000000004">
      <c r="A79" s="371" t="str">
        <f>LOWER(D70)</f>
        <v>e.m.</v>
      </c>
      <c r="B79" s="371" t="s">
        <v>779</v>
      </c>
      <c r="C79" s="371" t="s">
        <v>246</v>
      </c>
      <c r="D79" s="371" t="s">
        <v>781</v>
      </c>
      <c r="E79" s="371" t="s">
        <v>246</v>
      </c>
      <c r="F79" s="371" t="s">
        <v>782</v>
      </c>
      <c r="G79" s="371" t="s">
        <v>783</v>
      </c>
      <c r="H79" s="371" t="s">
        <v>784</v>
      </c>
      <c r="I79" s="371" t="s">
        <v>785</v>
      </c>
      <c r="J79" s="371" t="s">
        <v>786</v>
      </c>
      <c r="K79" s="371" t="s">
        <v>787</v>
      </c>
      <c r="M79" s="371">
        <v>44011</v>
      </c>
      <c r="O79" s="371" t="s">
        <v>788</v>
      </c>
      <c r="P79" s="378"/>
      <c r="Q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Z79" s="378"/>
      <c r="BA79" s="378"/>
      <c r="BB79" s="378"/>
      <c r="BC79" s="378"/>
      <c r="BD79" s="378"/>
      <c r="BE79" s="378"/>
      <c r="BF79" s="378"/>
      <c r="BG79" s="378"/>
      <c r="BH79" s="378"/>
      <c r="BI79" s="378"/>
      <c r="BJ79" s="378"/>
      <c r="BK79" s="378"/>
      <c r="BL79" s="378"/>
      <c r="BM79" s="378"/>
      <c r="BN79" s="378"/>
      <c r="CC79" s="381"/>
      <c r="CD79" s="381"/>
      <c r="CE79" s="381"/>
      <c r="CF79" s="381"/>
      <c r="CG79" s="381"/>
      <c r="CH79" s="432"/>
      <c r="CI79" s="378"/>
      <c r="CJ79" s="441"/>
      <c r="CK79" s="378"/>
      <c r="CL79" s="431"/>
      <c r="CM79" s="378"/>
      <c r="CN79" s="378"/>
      <c r="CO79" s="378"/>
      <c r="CQ79" s="378"/>
      <c r="CR79" s="378"/>
      <c r="CS79" s="378"/>
      <c r="CT79" s="378"/>
      <c r="CU79" s="378"/>
      <c r="CV79" s="378"/>
      <c r="CX79" s="398"/>
      <c r="CY79" s="392"/>
      <c r="CZ79" s="392"/>
      <c r="DA79" s="392"/>
      <c r="DB79" s="392"/>
      <c r="DC79" s="392"/>
      <c r="DD79" s="392"/>
      <c r="DE79" s="398"/>
      <c r="DF79" s="427"/>
    </row>
    <row r="80" spans="1:124" x14ac:dyDescent="0.55000000000000004">
      <c r="A80" s="378"/>
      <c r="B80" s="378"/>
      <c r="C80" s="378"/>
      <c r="D80" s="378"/>
      <c r="E80" s="378"/>
      <c r="F80" s="453"/>
      <c r="G80" s="378"/>
      <c r="H80" s="378"/>
      <c r="I80" s="431" t="s">
        <v>0</v>
      </c>
      <c r="J80" s="879">
        <v>40856</v>
      </c>
      <c r="K80" s="880"/>
      <c r="L80" s="378"/>
      <c r="M80" s="378"/>
      <c r="N80" s="378"/>
      <c r="O80" s="378"/>
      <c r="P80" s="378"/>
      <c r="Q80" s="378"/>
      <c r="Y80" s="378"/>
      <c r="Z80" s="378"/>
      <c r="AA80" s="378"/>
      <c r="AB80" s="378"/>
      <c r="AC80" s="378"/>
      <c r="AD80" s="378"/>
      <c r="AE80" s="378"/>
      <c r="AF80" s="378"/>
      <c r="AG80" s="378"/>
      <c r="AH80" s="378"/>
      <c r="AI80" s="378"/>
      <c r="AJ80" s="378"/>
      <c r="AK80" s="378"/>
      <c r="AL80" s="378"/>
      <c r="AM80" s="378"/>
      <c r="AN80" s="378"/>
      <c r="AO80" s="378"/>
      <c r="AP80" s="378"/>
      <c r="AQ80" s="378"/>
      <c r="AR80" s="378"/>
      <c r="AS80" s="378"/>
      <c r="AT80" s="378"/>
      <c r="AZ80" s="378"/>
      <c r="BA80" s="378"/>
      <c r="BB80" s="378"/>
      <c r="BC80" s="378"/>
      <c r="BD80" s="378"/>
      <c r="BE80" s="378"/>
      <c r="BF80" s="378"/>
      <c r="BG80" s="378"/>
      <c r="BH80" s="378"/>
      <c r="BI80" s="378"/>
      <c r="BJ80" s="378"/>
      <c r="BK80" s="378"/>
      <c r="BL80" s="378"/>
      <c r="BM80" s="378"/>
      <c r="BN80" s="378"/>
      <c r="CC80" s="381"/>
      <c r="CD80" s="381"/>
      <c r="CE80" s="381"/>
      <c r="CF80" s="381"/>
      <c r="CG80" s="381"/>
      <c r="CH80" s="381"/>
      <c r="CI80" s="381"/>
      <c r="CJ80" s="421"/>
      <c r="CK80" s="378"/>
      <c r="CL80" s="378"/>
      <c r="CM80" s="378"/>
      <c r="CN80" s="378"/>
      <c r="CO80" s="378"/>
      <c r="CQ80" s="378"/>
      <c r="CR80" s="378"/>
      <c r="CS80" s="378"/>
      <c r="CT80" s="378"/>
      <c r="CU80" s="378"/>
      <c r="CV80" s="378"/>
      <c r="CX80" s="398"/>
      <c r="CY80" s="392"/>
      <c r="CZ80" s="392"/>
      <c r="DA80" s="392"/>
      <c r="DB80" s="392"/>
      <c r="DC80" s="392"/>
      <c r="DD80" s="392"/>
      <c r="DE80" s="392"/>
      <c r="DF80" s="427"/>
    </row>
    <row r="81" spans="1:110" x14ac:dyDescent="0.55000000000000004">
      <c r="A81" s="378"/>
      <c r="B81" s="378"/>
      <c r="C81" s="378"/>
      <c r="D81" s="378"/>
      <c r="E81" s="378"/>
      <c r="F81" s="453"/>
      <c r="G81" s="378"/>
      <c r="H81" s="378"/>
      <c r="I81" s="378"/>
      <c r="J81" s="378"/>
      <c r="K81" s="378"/>
      <c r="L81" s="378"/>
      <c r="M81" s="378"/>
      <c r="N81" s="378"/>
      <c r="O81" s="378"/>
      <c r="P81" s="378"/>
      <c r="Q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Z81" s="378"/>
      <c r="BA81" s="378"/>
      <c r="BB81" s="378"/>
      <c r="BC81" s="378"/>
      <c r="BD81" s="378"/>
      <c r="BE81" s="378"/>
      <c r="BF81" s="378"/>
      <c r="BG81" s="378"/>
      <c r="BH81" s="378"/>
      <c r="BI81" s="378"/>
      <c r="BJ81" s="378"/>
      <c r="BK81" s="378"/>
      <c r="BL81" s="378"/>
      <c r="BM81" s="378"/>
      <c r="BN81" s="378"/>
      <c r="CB81" s="378"/>
      <c r="CC81" s="454"/>
      <c r="CD81" s="454"/>
      <c r="CE81" s="454"/>
      <c r="CF81" s="454"/>
      <c r="CG81" s="454"/>
      <c r="CH81" s="381"/>
      <c r="CJ81" s="421"/>
      <c r="CK81" s="378"/>
      <c r="CL81" s="378"/>
      <c r="CM81" s="378"/>
      <c r="CN81" s="378"/>
      <c r="CO81" s="378"/>
      <c r="CQ81" s="378"/>
      <c r="CR81" s="378"/>
      <c r="CS81" s="378"/>
      <c r="CT81" s="378"/>
      <c r="CU81" s="378"/>
      <c r="CV81" s="378"/>
      <c r="CX81" s="398"/>
      <c r="CY81" s="455"/>
      <c r="CZ81" s="455"/>
      <c r="DA81" s="455"/>
      <c r="DB81" s="455"/>
      <c r="DC81" s="455"/>
      <c r="DD81" s="392"/>
      <c r="DE81" s="398"/>
      <c r="DF81" s="427"/>
    </row>
    <row r="82" spans="1:110" x14ac:dyDescent="0.55000000000000004">
      <c r="A82" s="431"/>
      <c r="B82" s="378"/>
      <c r="C82" s="378"/>
      <c r="D82" s="378"/>
      <c r="E82" s="378"/>
      <c r="F82" s="456"/>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Z82" s="378"/>
      <c r="BA82" s="378"/>
      <c r="BB82" s="378"/>
      <c r="BC82" s="378"/>
      <c r="BD82" s="378"/>
      <c r="BE82" s="378"/>
      <c r="BF82" s="378"/>
      <c r="BG82" s="378"/>
      <c r="BH82" s="378"/>
      <c r="BI82" s="378"/>
      <c r="BJ82" s="378"/>
      <c r="BK82" s="378"/>
      <c r="BL82" s="378"/>
      <c r="BM82" s="378"/>
      <c r="BN82" s="378"/>
      <c r="CC82" s="454"/>
      <c r="CD82" s="454"/>
      <c r="CE82" s="454"/>
      <c r="CF82" s="454"/>
      <c r="CG82" s="454"/>
      <c r="CH82" s="432"/>
      <c r="CI82" s="378"/>
      <c r="CJ82" s="441"/>
      <c r="CK82" s="378"/>
      <c r="CL82" s="378"/>
      <c r="CM82" s="378"/>
      <c r="CN82" s="378"/>
      <c r="CO82" s="378"/>
      <c r="CQ82" s="378"/>
      <c r="CR82" s="378"/>
      <c r="CS82" s="378"/>
      <c r="CT82" s="378"/>
      <c r="CU82" s="378"/>
      <c r="CV82" s="378"/>
      <c r="CX82" s="398"/>
      <c r="CY82" s="455"/>
      <c r="CZ82" s="455"/>
      <c r="DA82" s="455"/>
      <c r="DB82" s="455"/>
      <c r="DC82" s="455"/>
      <c r="DD82" s="392"/>
      <c r="DE82" s="398"/>
      <c r="DF82" s="427"/>
    </row>
    <row r="83" spans="1:110" x14ac:dyDescent="0.55000000000000004">
      <c r="A83" s="378"/>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Z83" s="378"/>
      <c r="BA83" s="378"/>
      <c r="BB83" s="378"/>
      <c r="BC83" s="378"/>
      <c r="BD83" s="378"/>
      <c r="BE83" s="378"/>
      <c r="BF83" s="378"/>
      <c r="BG83" s="378"/>
      <c r="BH83" s="378"/>
      <c r="BI83" s="378"/>
      <c r="BJ83" s="378"/>
      <c r="BK83" s="378"/>
      <c r="BL83" s="378"/>
      <c r="BM83" s="378"/>
      <c r="BN83" s="378"/>
      <c r="CB83" s="378"/>
      <c r="CC83" s="378"/>
      <c r="CD83" s="378"/>
      <c r="CE83" s="378"/>
      <c r="CF83" s="378"/>
      <c r="CG83" s="378"/>
      <c r="CH83" s="378"/>
      <c r="CI83" s="378"/>
      <c r="CJ83" s="441"/>
      <c r="CK83" s="378"/>
      <c r="CL83" s="378"/>
      <c r="CM83" s="378"/>
      <c r="CN83" s="378"/>
      <c r="CO83" s="378"/>
      <c r="CQ83" s="378"/>
      <c r="CR83" s="378"/>
      <c r="CS83" s="378"/>
      <c r="CT83" s="378"/>
      <c r="CU83" s="378"/>
      <c r="CV83" s="378"/>
      <c r="CX83" s="398"/>
      <c r="CY83" s="398"/>
      <c r="CZ83" s="398"/>
      <c r="DA83" s="398"/>
      <c r="DB83" s="398"/>
      <c r="DC83" s="398"/>
      <c r="DD83" s="398"/>
      <c r="DE83" s="398"/>
      <c r="DF83" s="427"/>
    </row>
    <row r="84" spans="1:110" x14ac:dyDescent="0.55000000000000004">
      <c r="CP84" s="371"/>
      <c r="CU84" s="378"/>
    </row>
    <row r="85" spans="1:110" x14ac:dyDescent="0.55000000000000004">
      <c r="CP85" s="371"/>
      <c r="CU85" s="378"/>
    </row>
    <row r="86" spans="1:110" x14ac:dyDescent="0.55000000000000004">
      <c r="CP86" s="371"/>
      <c r="CU86" s="378"/>
    </row>
  </sheetData>
  <mergeCells count="8">
    <mergeCell ref="J80:K80"/>
    <mergeCell ref="T1:U1"/>
    <mergeCell ref="AN10:BF11"/>
    <mergeCell ref="AN14:BF15"/>
    <mergeCell ref="AN20:BF21"/>
    <mergeCell ref="AN27:BF28"/>
    <mergeCell ref="AN23:BF23"/>
    <mergeCell ref="AN17:BF18"/>
  </mergeCells>
  <conditionalFormatting sqref="K12:K60">
    <cfRule type="cellIs" priority="478" operator="between">
      <formula>#REF!</formula>
      <formula>#REF!</formula>
    </cfRule>
  </conditionalFormatting>
  <dataValidations disablePrompts="1" count="2">
    <dataValidation type="list" allowBlank="1" showInputMessage="1" showErrorMessage="1" sqref="R40" xr:uid="{90A40D58-926D-4506-A7A8-FE4E36DE4169}">
      <formula1>$U$38:$U$45</formula1>
    </dataValidation>
    <dataValidation type="list" allowBlank="1" showInputMessage="1" showErrorMessage="1" sqref="F66" xr:uid="{601BC056-CEA3-4322-A7D9-D86F1DFF6EC6}">
      <formula1>#REF!</formula1>
    </dataValidation>
  </dataValidations>
  <pageMargins left="0.7" right="0.7" top="0.75" bottom="0.75" header="0.3" footer="0.3"/>
  <pageSetup paperSize="9" scale="11" orientation="landscape" horizontalDpi="0" verticalDpi="0" r:id="rId1"/>
  <ignoredErrors>
    <ignoredError xmlns:x16r3="http://schemas.microsoft.com/office/spreadsheetml/2018/08/main" sqref="T2"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2179320</xdr:colOff>
                    <xdr:row>3</xdr:row>
                    <xdr:rowOff>0</xdr:rowOff>
                  </from>
                  <to>
                    <xdr:col>4</xdr:col>
                    <xdr:colOff>864870</xdr:colOff>
                    <xdr:row>4</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2186940</xdr:colOff>
                    <xdr:row>3</xdr:row>
                    <xdr:rowOff>160020</xdr:rowOff>
                  </from>
                  <to>
                    <xdr:col>4</xdr:col>
                    <xdr:colOff>864870</xdr:colOff>
                    <xdr:row>5</xdr:row>
                    <xdr:rowOff>15240</xdr:rowOff>
                  </to>
                </anchor>
              </controlPr>
            </control>
          </mc:Choice>
        </mc:AlternateContent>
        <mc:AlternateContent xmlns:mc="http://schemas.openxmlformats.org/markup-compatibility/2006">
          <mc:Choice Requires="x14">
            <control shapeId="1088" r:id="rId6" name="Drop Down 64">
              <controlPr defaultSize="0" autoLine="0" autoPict="0">
                <anchor moveWithCells="1">
                  <from>
                    <xdr:col>3</xdr:col>
                    <xdr:colOff>2179320</xdr:colOff>
                    <xdr:row>39</xdr:row>
                    <xdr:rowOff>129540</xdr:rowOff>
                  </from>
                  <to>
                    <xdr:col>5</xdr:col>
                    <xdr:colOff>240030</xdr:colOff>
                    <xdr:row>40</xdr:row>
                    <xdr:rowOff>171450</xdr:rowOff>
                  </to>
                </anchor>
              </controlPr>
            </control>
          </mc:Choice>
        </mc:AlternateContent>
        <mc:AlternateContent xmlns:mc="http://schemas.openxmlformats.org/markup-compatibility/2006">
          <mc:Choice Requires="x14">
            <control shapeId="1089" r:id="rId7" name="Drop Down 65">
              <controlPr defaultSize="0" autoLine="0" autoPict="0">
                <anchor moveWithCells="1">
                  <from>
                    <xdr:col>3</xdr:col>
                    <xdr:colOff>2179320</xdr:colOff>
                    <xdr:row>40</xdr:row>
                    <xdr:rowOff>163830</xdr:rowOff>
                  </from>
                  <to>
                    <xdr:col>5</xdr:col>
                    <xdr:colOff>240030</xdr:colOff>
                    <xdr:row>42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187C-2D90-439F-9F77-272266B9EF52}">
  <sheetPr codeName="Blad5">
    <pageSetUpPr fitToPage="1"/>
  </sheetPr>
  <dimension ref="A1:AA143"/>
  <sheetViews>
    <sheetView workbookViewId="0"/>
  </sheetViews>
  <sheetFormatPr defaultRowHeight="14.4" x14ac:dyDescent="0.55000000000000004"/>
  <cols>
    <col min="1" max="3" width="3.578125" style="343" customWidth="1"/>
    <col min="4" max="6" width="5.9453125" style="343" customWidth="1"/>
    <col min="7" max="7" width="12.3671875" style="343" customWidth="1"/>
    <col min="8" max="8" width="3.3125" style="343" customWidth="1"/>
    <col min="9" max="10" width="8.83984375" style="343"/>
    <col min="11" max="11" width="9.3125" style="343" customWidth="1"/>
    <col min="12" max="12" width="8.578125" style="343" customWidth="1"/>
    <col min="13" max="13" width="9.578125" style="343" customWidth="1"/>
    <col min="14" max="14" width="8.578125" style="343" customWidth="1"/>
    <col min="15" max="15" width="9.26171875" style="343" customWidth="1"/>
    <col min="16" max="16" width="4.578125" style="343" customWidth="1"/>
    <col min="17" max="17" width="3.20703125" style="343" customWidth="1"/>
    <col min="18" max="20" width="8.578125" style="343" customWidth="1"/>
    <col min="21" max="21" width="6.3671875" style="343" customWidth="1"/>
    <col min="22" max="22" width="4.89453125" style="343" customWidth="1"/>
    <col min="23" max="23" width="8.578125" style="343" customWidth="1"/>
    <col min="24" max="24" width="7.5234375" style="343" customWidth="1"/>
    <col min="25" max="25" width="3.3125" style="343" customWidth="1"/>
    <col min="26" max="26" width="8.83984375" style="343"/>
    <col min="27" max="27" width="5.47265625" style="343" customWidth="1"/>
    <col min="28" max="28" width="10.578125" style="343" customWidth="1"/>
    <col min="29" max="16384" width="8.83984375" style="343"/>
  </cols>
  <sheetData>
    <row r="1" spans="1:27" ht="5.7" customHeight="1" x14ac:dyDescent="0.55000000000000004">
      <c r="A1" s="336"/>
    </row>
    <row r="2" spans="1:27" ht="8.1" customHeight="1" x14ac:dyDescent="0.55000000000000004"/>
    <row r="3" spans="1:27" ht="44.7" customHeight="1" x14ac:dyDescent="0.55000000000000004"/>
    <row r="4" spans="1:27" ht="24" customHeight="1" x14ac:dyDescent="0.55000000000000004">
      <c r="O4" s="348"/>
      <c r="P4" s="348"/>
      <c r="Q4" s="348"/>
      <c r="T4" s="348"/>
      <c r="U4" s="348"/>
    </row>
    <row r="5" spans="1:27" ht="24" customHeight="1" x14ac:dyDescent="0.55000000000000004">
      <c r="O5" s="348"/>
      <c r="P5" s="348"/>
      <c r="Q5" s="348"/>
      <c r="T5" s="348"/>
      <c r="U5" s="348"/>
    </row>
    <row r="6" spans="1:27" ht="24" customHeight="1" x14ac:dyDescent="0.55000000000000004">
      <c r="I6" s="457" t="s">
        <v>627</v>
      </c>
      <c r="J6" s="458"/>
      <c r="K6" s="458"/>
      <c r="L6" s="458"/>
      <c r="M6" s="458"/>
      <c r="P6" s="459"/>
      <c r="Q6" s="348"/>
    </row>
    <row r="7" spans="1:27" ht="15.6" customHeight="1" x14ac:dyDescent="0.55000000000000004">
      <c r="N7" s="891"/>
      <c r="O7" s="891"/>
      <c r="P7" s="348"/>
      <c r="Q7" s="348"/>
    </row>
    <row r="8" spans="1:27" ht="15.6" customHeight="1" x14ac:dyDescent="0.55000000000000004">
      <c r="I8" s="460" t="s">
        <v>618</v>
      </c>
      <c r="N8" s="891"/>
      <c r="O8" s="891"/>
      <c r="P8" s="348"/>
      <c r="Q8" s="348"/>
    </row>
    <row r="9" spans="1:27" ht="15.6" customHeight="1" x14ac:dyDescent="0.55000000000000004">
      <c r="I9" s="460" t="s">
        <v>626</v>
      </c>
      <c r="N9" s="891"/>
      <c r="O9" s="891"/>
      <c r="P9" s="348"/>
      <c r="Q9" s="348"/>
      <c r="T9" s="348"/>
      <c r="U9" s="348"/>
      <c r="V9" s="458"/>
      <c r="W9" s="461"/>
      <c r="X9" s="461"/>
      <c r="Y9" s="462"/>
    </row>
    <row r="10" spans="1:27" ht="15.6" customHeight="1" x14ac:dyDescent="0.55000000000000004">
      <c r="I10" s="460" t="s">
        <v>619</v>
      </c>
      <c r="N10" s="891"/>
      <c r="O10" s="891"/>
      <c r="T10" s="463"/>
      <c r="U10" s="463"/>
      <c r="V10" s="464"/>
      <c r="W10" s="464"/>
      <c r="X10" s="464"/>
      <c r="Y10" s="464"/>
      <c r="Z10" s="464"/>
      <c r="AA10" s="464"/>
    </row>
    <row r="11" spans="1:27" ht="15.6" customHeight="1" x14ac:dyDescent="0.55000000000000004">
      <c r="I11" s="460" t="s">
        <v>624</v>
      </c>
      <c r="N11" s="891"/>
      <c r="O11" s="891"/>
      <c r="T11" s="463"/>
      <c r="U11" s="463"/>
      <c r="V11" s="464"/>
      <c r="W11" s="464"/>
      <c r="X11" s="464"/>
      <c r="Y11" s="464"/>
      <c r="Z11" s="464"/>
      <c r="AA11" s="464"/>
    </row>
    <row r="12" spans="1:27" ht="17.7" customHeight="1" x14ac:dyDescent="0.55000000000000004">
      <c r="I12" s="460" t="s">
        <v>628</v>
      </c>
      <c r="N12" s="891"/>
      <c r="O12" s="891"/>
      <c r="V12" s="464"/>
      <c r="W12" s="464"/>
      <c r="X12" s="464"/>
      <c r="Y12" s="464"/>
      <c r="Z12" s="464"/>
    </row>
    <row r="13" spans="1:27" ht="18.3" customHeight="1" x14ac:dyDescent="0.55000000000000004">
      <c r="I13" s="460" t="s">
        <v>629</v>
      </c>
      <c r="N13" s="891"/>
      <c r="O13" s="891"/>
      <c r="Q13" s="894" t="s">
        <v>260</v>
      </c>
      <c r="R13" s="894"/>
      <c r="S13" s="894"/>
      <c r="T13" s="465"/>
      <c r="U13" s="348"/>
      <c r="Z13" s="466"/>
      <c r="AA13" s="466"/>
    </row>
    <row r="14" spans="1:27" ht="16.8" customHeight="1" x14ac:dyDescent="0.55000000000000004">
      <c r="I14" s="467" t="s">
        <v>630</v>
      </c>
      <c r="N14" s="891"/>
      <c r="O14" s="891"/>
      <c r="Q14" s="894"/>
      <c r="R14" s="894"/>
      <c r="S14" s="894"/>
      <c r="T14" s="465"/>
      <c r="U14" s="348"/>
      <c r="AA14" s="466"/>
    </row>
    <row r="15" spans="1:27" ht="21.6" customHeight="1" x14ac:dyDescent="1.85">
      <c r="I15" s="468" t="s">
        <v>625</v>
      </c>
      <c r="N15" s="891"/>
      <c r="O15" s="891"/>
      <c r="P15" s="469"/>
      <c r="Q15" s="470"/>
      <c r="R15" s="469"/>
      <c r="S15" s="471" t="s">
        <v>263</v>
      </c>
      <c r="V15" s="472"/>
      <c r="AA15" s="466"/>
    </row>
    <row r="16" spans="1:27" s="473" customFormat="1" ht="14.1" customHeight="1" x14ac:dyDescent="0.55000000000000004">
      <c r="I16" s="473" t="s">
        <v>631</v>
      </c>
      <c r="N16" s="891"/>
      <c r="O16" s="891"/>
      <c r="V16" s="474"/>
      <c r="Z16" s="475" t="s">
        <v>608</v>
      </c>
    </row>
    <row r="17" spans="9:27" ht="15.6" customHeight="1" x14ac:dyDescent="0.55000000000000004">
      <c r="I17" s="460" t="s">
        <v>621</v>
      </c>
      <c r="N17" s="891"/>
      <c r="O17" s="891"/>
      <c r="V17" s="472"/>
    </row>
    <row r="18" spans="9:27" ht="15.6" customHeight="1" x14ac:dyDescent="0.55000000000000004">
      <c r="I18" s="460" t="s">
        <v>623</v>
      </c>
      <c r="N18" s="891"/>
      <c r="O18" s="891"/>
    </row>
    <row r="19" spans="9:27" ht="15.6" customHeight="1" x14ac:dyDescent="0.55000000000000004">
      <c r="I19" s="460" t="s">
        <v>620</v>
      </c>
      <c r="N19" s="891"/>
      <c r="O19" s="891"/>
      <c r="T19" s="348"/>
      <c r="U19" s="348"/>
      <c r="W19" s="892"/>
      <c r="X19" s="892"/>
      <c r="Y19" s="892"/>
      <c r="Z19" s="892"/>
      <c r="AA19" s="892"/>
    </row>
    <row r="20" spans="9:27" ht="15.6" customHeight="1" x14ac:dyDescent="0.55000000000000004">
      <c r="I20" s="460" t="s">
        <v>873</v>
      </c>
      <c r="N20" s="891"/>
      <c r="O20" s="891"/>
      <c r="P20" s="348"/>
      <c r="Q20" s="348"/>
      <c r="T20" s="348"/>
      <c r="U20" s="348"/>
      <c r="W20" s="892"/>
      <c r="X20" s="892"/>
      <c r="Y20" s="892"/>
      <c r="Z20" s="892"/>
      <c r="AA20" s="892"/>
    </row>
    <row r="21" spans="9:27" ht="15.6" customHeight="1" x14ac:dyDescent="9.1">
      <c r="I21" s="460" t="s">
        <v>622</v>
      </c>
      <c r="N21" s="476"/>
      <c r="O21" s="476"/>
      <c r="P21" s="348"/>
      <c r="Q21" s="348"/>
      <c r="T21" s="348"/>
      <c r="U21" s="348"/>
    </row>
    <row r="22" spans="9:27" ht="15.6" customHeight="1" x14ac:dyDescent="0.55000000000000004">
      <c r="O22" s="348"/>
      <c r="P22" s="348"/>
      <c r="Q22" s="348"/>
      <c r="T22" s="348"/>
      <c r="U22" s="348"/>
    </row>
    <row r="23" spans="9:27" ht="17.7" customHeight="1" x14ac:dyDescent="0.55000000000000004">
      <c r="I23" s="477" t="s">
        <v>874</v>
      </c>
      <c r="O23" s="348"/>
      <c r="P23" s="348"/>
      <c r="Q23" s="348"/>
      <c r="T23" s="348"/>
      <c r="U23" s="348"/>
    </row>
    <row r="24" spans="9:27" ht="8.4" customHeight="1" x14ac:dyDescent="0.55000000000000004"/>
    <row r="25" spans="9:27" ht="15.3" customHeight="1" x14ac:dyDescent="0.55000000000000004">
      <c r="I25" s="478" t="s">
        <v>571</v>
      </c>
      <c r="J25" s="478"/>
      <c r="K25" s="478"/>
      <c r="L25" s="479"/>
      <c r="M25" s="478" t="s">
        <v>687</v>
      </c>
      <c r="N25" s="478"/>
      <c r="O25" s="478"/>
      <c r="P25" s="478"/>
      <c r="Q25" s="479"/>
      <c r="R25" s="480" t="s">
        <v>743</v>
      </c>
      <c r="S25" s="470"/>
      <c r="T25" s="470"/>
      <c r="U25" s="470"/>
      <c r="V25" s="470"/>
      <c r="W25" s="478" t="s">
        <v>690</v>
      </c>
      <c r="X25" s="470"/>
      <c r="Y25" s="470"/>
      <c r="Z25" s="348"/>
    </row>
    <row r="26" spans="9:27" ht="15.3" customHeight="1" x14ac:dyDescent="0.55000000000000004">
      <c r="I26" s="889" t="s">
        <v>568</v>
      </c>
      <c r="J26" s="889"/>
      <c r="K26" s="889"/>
      <c r="L26" s="481"/>
      <c r="M26" s="889" t="s">
        <v>688</v>
      </c>
      <c r="N26" s="889"/>
      <c r="O26" s="889"/>
      <c r="P26" s="481"/>
      <c r="Q26" s="481"/>
      <c r="R26" s="890" t="s">
        <v>689</v>
      </c>
      <c r="S26" s="890"/>
      <c r="T26" s="890"/>
      <c r="U26" s="890"/>
      <c r="V26" s="481"/>
      <c r="W26" s="889" t="s">
        <v>691</v>
      </c>
      <c r="X26" s="889"/>
      <c r="Y26" s="889"/>
      <c r="Z26" s="889"/>
    </row>
    <row r="27" spans="9:27" ht="15.3" customHeight="1" x14ac:dyDescent="0.55000000000000004">
      <c r="I27" s="889"/>
      <c r="J27" s="889"/>
      <c r="K27" s="889"/>
      <c r="L27" s="481"/>
      <c r="M27" s="889"/>
      <c r="N27" s="889"/>
      <c r="O27" s="889"/>
      <c r="P27" s="481"/>
      <c r="Q27" s="481"/>
      <c r="R27" s="890"/>
      <c r="S27" s="890"/>
      <c r="T27" s="890"/>
      <c r="U27" s="890"/>
      <c r="V27" s="481"/>
      <c r="W27" s="889"/>
      <c r="X27" s="889"/>
      <c r="Y27" s="889"/>
      <c r="Z27" s="889"/>
    </row>
    <row r="28" spans="9:27" ht="15.3" customHeight="1" x14ac:dyDescent="0.55000000000000004">
      <c r="I28" s="889"/>
      <c r="J28" s="889"/>
      <c r="K28" s="889"/>
      <c r="L28" s="481"/>
      <c r="M28" s="889"/>
      <c r="N28" s="889"/>
      <c r="O28" s="889"/>
      <c r="P28" s="481"/>
      <c r="Q28" s="481"/>
      <c r="R28" s="890"/>
      <c r="S28" s="890"/>
      <c r="T28" s="890"/>
      <c r="U28" s="890"/>
      <c r="V28" s="481"/>
      <c r="W28" s="889"/>
      <c r="X28" s="889"/>
      <c r="Y28" s="889"/>
      <c r="Z28" s="889"/>
    </row>
    <row r="29" spans="9:27" ht="15.3" customHeight="1" x14ac:dyDescent="0.55000000000000004">
      <c r="I29" s="889"/>
      <c r="J29" s="889"/>
      <c r="K29" s="889"/>
      <c r="L29" s="345"/>
      <c r="M29" s="889"/>
      <c r="N29" s="889"/>
      <c r="O29" s="889"/>
      <c r="P29" s="481"/>
      <c r="Q29" s="481"/>
      <c r="R29" s="890"/>
      <c r="S29" s="890"/>
      <c r="T29" s="890"/>
      <c r="U29" s="890"/>
      <c r="W29" s="889"/>
      <c r="X29" s="889"/>
      <c r="Y29" s="889"/>
      <c r="Z29" s="889"/>
    </row>
    <row r="30" spans="9:27" ht="15.3" customHeight="1" x14ac:dyDescent="0.55000000000000004"/>
    <row r="31" spans="9:27" ht="15.3" customHeight="1" x14ac:dyDescent="0.7">
      <c r="N31" s="482" t="s">
        <v>692</v>
      </c>
    </row>
    <row r="32" spans="9:27" ht="7.5" customHeight="1" x14ac:dyDescent="0.55000000000000004"/>
    <row r="33" spans="9:26" ht="15.3" customHeight="1" x14ac:dyDescent="0.55000000000000004">
      <c r="N33" s="889" t="s">
        <v>693</v>
      </c>
      <c r="O33" s="889"/>
      <c r="P33" s="889"/>
      <c r="Q33" s="889"/>
      <c r="R33" s="889"/>
      <c r="S33" s="889"/>
      <c r="T33" s="889"/>
      <c r="U33" s="889"/>
      <c r="V33" s="889"/>
      <c r="W33" s="889"/>
    </row>
    <row r="34" spans="9:26" ht="15.3" customHeight="1" x14ac:dyDescent="0.55000000000000004">
      <c r="N34" s="889"/>
      <c r="O34" s="889"/>
      <c r="P34" s="889"/>
      <c r="Q34" s="889"/>
      <c r="R34" s="889"/>
      <c r="S34" s="889"/>
      <c r="T34" s="889"/>
      <c r="U34" s="889"/>
      <c r="V34" s="889"/>
      <c r="W34" s="889"/>
    </row>
    <row r="35" spans="9:26" ht="15.3" customHeight="1" x14ac:dyDescent="0.55000000000000004">
      <c r="N35" s="889"/>
      <c r="O35" s="889"/>
      <c r="P35" s="889"/>
      <c r="Q35" s="889"/>
      <c r="R35" s="889"/>
      <c r="S35" s="889"/>
      <c r="T35" s="889"/>
      <c r="U35" s="889"/>
      <c r="V35" s="889"/>
      <c r="W35" s="889"/>
    </row>
    <row r="36" spans="9:26" ht="15.3" customHeight="1" x14ac:dyDescent="0.55000000000000004">
      <c r="N36" s="464"/>
      <c r="O36" s="464"/>
      <c r="P36" s="464"/>
      <c r="Q36" s="464"/>
      <c r="R36" s="464"/>
      <c r="S36" s="464"/>
      <c r="T36" s="464"/>
      <c r="U36" s="464"/>
      <c r="V36" s="464"/>
      <c r="W36" s="464"/>
    </row>
    <row r="37" spans="9:26" ht="15.3" customHeight="1" x14ac:dyDescent="0.55000000000000004">
      <c r="I37" s="486"/>
      <c r="J37" s="489"/>
      <c r="K37" s="489"/>
      <c r="L37" s="489"/>
      <c r="M37" s="489"/>
      <c r="N37" s="489"/>
      <c r="O37" s="489"/>
      <c r="P37" s="489"/>
      <c r="Q37" s="489"/>
      <c r="R37" s="489"/>
      <c r="S37" s="489"/>
      <c r="T37" s="489"/>
      <c r="U37" s="489"/>
      <c r="V37" s="489"/>
      <c r="W37" s="489"/>
      <c r="X37" s="489"/>
      <c r="Y37" s="489"/>
      <c r="Z37" s="490"/>
    </row>
    <row r="38" spans="9:26" ht="15.3" customHeight="1" x14ac:dyDescent="0.55000000000000004">
      <c r="I38" s="491"/>
      <c r="J38" s="477" t="s">
        <v>876</v>
      </c>
      <c r="O38" s="464"/>
      <c r="P38" s="464"/>
      <c r="Q38" s="464"/>
      <c r="R38" s="464"/>
      <c r="S38" s="464"/>
      <c r="T38" s="464"/>
      <c r="U38" s="464"/>
      <c r="V38" s="464"/>
      <c r="W38" s="464"/>
      <c r="Z38" s="495"/>
    </row>
    <row r="39" spans="9:26" ht="15.3" customHeight="1" x14ac:dyDescent="0.55000000000000004">
      <c r="I39" s="491"/>
      <c r="O39" s="464"/>
      <c r="P39" s="464"/>
      <c r="Q39" s="464"/>
      <c r="R39" s="464"/>
      <c r="S39" s="464"/>
      <c r="T39" s="464"/>
      <c r="U39" s="464"/>
      <c r="V39" s="464"/>
      <c r="W39" s="464"/>
      <c r="Z39" s="495"/>
    </row>
    <row r="40" spans="9:26" ht="17.100000000000001" customHeight="1" x14ac:dyDescent="0.55000000000000004">
      <c r="I40" s="491"/>
      <c r="J40" s="801" t="s">
        <v>877</v>
      </c>
      <c r="O40" s="464"/>
      <c r="P40" s="464"/>
      <c r="Q40" s="464"/>
      <c r="R40" s="464"/>
      <c r="S40" s="464"/>
      <c r="T40" s="464"/>
      <c r="U40" s="464"/>
      <c r="V40" s="464"/>
      <c r="W40" s="464"/>
      <c r="Z40" s="495"/>
    </row>
    <row r="41" spans="9:26" ht="20.399999999999999" customHeight="1" x14ac:dyDescent="0.55000000000000004">
      <c r="I41" s="491"/>
      <c r="J41" s="802" t="s">
        <v>880</v>
      </c>
      <c r="O41" s="464"/>
      <c r="P41" s="464"/>
      <c r="Q41" s="464"/>
      <c r="R41" s="464"/>
      <c r="S41" s="464"/>
      <c r="T41" s="464"/>
      <c r="U41" s="464"/>
      <c r="V41" s="464"/>
      <c r="W41" s="464"/>
      <c r="Z41" s="495"/>
    </row>
    <row r="42" spans="9:26" ht="16.5" customHeight="1" x14ac:dyDescent="0.55000000000000004">
      <c r="I42" s="491"/>
      <c r="J42" s="801" t="s">
        <v>878</v>
      </c>
      <c r="O42" s="464"/>
      <c r="P42" s="464"/>
      <c r="Q42" s="464"/>
      <c r="R42" s="464"/>
      <c r="S42" s="464"/>
      <c r="T42" s="464"/>
      <c r="U42" s="464"/>
      <c r="V42" s="464"/>
      <c r="W42" s="464"/>
      <c r="Z42" s="495"/>
    </row>
    <row r="43" spans="9:26" ht="16.5" customHeight="1" x14ac:dyDescent="0.55000000000000004">
      <c r="I43" s="491"/>
      <c r="J43" s="802" t="s">
        <v>881</v>
      </c>
      <c r="O43" s="464"/>
      <c r="P43" s="464"/>
      <c r="Q43" s="464"/>
      <c r="R43" s="464"/>
      <c r="S43" s="464"/>
      <c r="T43" s="464"/>
      <c r="U43" s="464"/>
      <c r="V43" s="464"/>
      <c r="W43" s="464"/>
      <c r="Z43" s="495"/>
    </row>
    <row r="44" spans="9:26" ht="16.5" customHeight="1" x14ac:dyDescent="0.55000000000000004">
      <c r="I44" s="491"/>
      <c r="J44" s="802"/>
      <c r="O44" s="464"/>
      <c r="P44" s="464"/>
      <c r="Q44" s="464"/>
      <c r="R44" s="464"/>
      <c r="S44" s="464"/>
      <c r="T44" s="464"/>
      <c r="U44" s="464"/>
      <c r="V44" s="464"/>
      <c r="W44" s="464"/>
      <c r="Z44" s="495"/>
    </row>
    <row r="45" spans="9:26" ht="15.3" customHeight="1" x14ac:dyDescent="0.7">
      <c r="I45" s="491"/>
      <c r="J45" s="804" t="s">
        <v>879</v>
      </c>
      <c r="O45" s="464"/>
      <c r="P45" s="464"/>
      <c r="Q45" s="464"/>
      <c r="R45" s="464"/>
      <c r="S45" s="464"/>
      <c r="T45" s="464"/>
      <c r="U45" s="464"/>
      <c r="V45" s="464"/>
      <c r="W45" s="464"/>
      <c r="Z45" s="495"/>
    </row>
    <row r="46" spans="9:26" ht="15.3" customHeight="1" x14ac:dyDescent="0.55000000000000004">
      <c r="I46" s="500"/>
      <c r="J46" s="803"/>
      <c r="K46" s="803"/>
      <c r="L46" s="803"/>
      <c r="M46" s="803"/>
      <c r="N46" s="803"/>
      <c r="O46" s="803"/>
      <c r="P46" s="803"/>
      <c r="Q46" s="803"/>
      <c r="R46" s="803"/>
      <c r="S46" s="803"/>
      <c r="T46" s="803"/>
      <c r="U46" s="803"/>
      <c r="V46" s="803"/>
      <c r="W46" s="803"/>
      <c r="X46" s="503"/>
      <c r="Y46" s="503"/>
      <c r="Z46" s="504"/>
    </row>
    <row r="47" spans="9:26" ht="15.3" customHeight="1" x14ac:dyDescent="0.55000000000000004">
      <c r="J47" s="464"/>
      <c r="K47" s="464"/>
      <c r="L47" s="464"/>
      <c r="M47" s="464"/>
      <c r="N47" s="464"/>
      <c r="O47" s="464"/>
      <c r="P47" s="464"/>
      <c r="Q47" s="464"/>
      <c r="R47" s="464"/>
      <c r="S47" s="464"/>
      <c r="T47" s="464"/>
      <c r="U47" s="464"/>
      <c r="V47" s="464"/>
      <c r="W47" s="464"/>
    </row>
    <row r="48" spans="9:26" ht="15.3" customHeight="1" x14ac:dyDescent="0.55000000000000004">
      <c r="J48" s="464"/>
      <c r="K48" s="464"/>
      <c r="L48" s="464"/>
      <c r="M48" s="464"/>
      <c r="N48" s="464"/>
      <c r="O48" s="464"/>
      <c r="P48" s="464"/>
      <c r="Q48" s="464"/>
      <c r="R48" s="464"/>
      <c r="S48" s="464"/>
      <c r="T48" s="464"/>
      <c r="U48" s="464"/>
      <c r="V48" s="464"/>
      <c r="W48" s="464"/>
    </row>
    <row r="49" spans="9:26" ht="15.3" customHeight="1" x14ac:dyDescent="0.55000000000000004"/>
    <row r="50" spans="9:26" ht="15.3" customHeight="1" x14ac:dyDescent="0.55000000000000004"/>
    <row r="51" spans="9:26" ht="15.3" customHeight="1" x14ac:dyDescent="0.55000000000000004"/>
    <row r="52" spans="9:26" ht="15.3" customHeight="1" x14ac:dyDescent="0.55000000000000004"/>
    <row r="53" spans="9:26" ht="15.3" customHeight="1" x14ac:dyDescent="0.55000000000000004"/>
    <row r="54" spans="9:26" ht="25.2" customHeight="1" x14ac:dyDescent="0.85">
      <c r="I54" s="895" t="s">
        <v>694</v>
      </c>
      <c r="J54" s="896"/>
      <c r="K54" s="896"/>
      <c r="L54" s="896"/>
      <c r="M54" s="896"/>
      <c r="N54" s="896"/>
      <c r="O54" s="896"/>
      <c r="P54" s="483"/>
      <c r="R54" s="897"/>
      <c r="S54" s="897"/>
      <c r="T54" s="897"/>
      <c r="U54" s="897"/>
      <c r="V54" s="897"/>
      <c r="W54" s="897"/>
      <c r="X54" s="897"/>
      <c r="Y54" s="897"/>
      <c r="Z54" s="484"/>
    </row>
    <row r="55" spans="9:26" ht="4.5" customHeight="1" x14ac:dyDescent="0.55000000000000004">
      <c r="Q55" s="473"/>
      <c r="Z55" s="466"/>
    </row>
    <row r="56" spans="9:26" ht="15.3" customHeight="1" x14ac:dyDescent="0.55000000000000004">
      <c r="I56" s="478" t="s">
        <v>418</v>
      </c>
      <c r="J56" s="478"/>
      <c r="K56" s="478"/>
      <c r="L56" s="479"/>
      <c r="M56" s="478" t="s">
        <v>444</v>
      </c>
      <c r="N56" s="478"/>
      <c r="O56" s="478"/>
      <c r="P56" s="478"/>
      <c r="Q56" s="479"/>
      <c r="R56" s="478" t="s">
        <v>696</v>
      </c>
      <c r="S56" s="470"/>
      <c r="T56" s="470"/>
      <c r="U56" s="470"/>
      <c r="V56" s="470"/>
      <c r="W56" s="478" t="s">
        <v>569</v>
      </c>
      <c r="X56" s="470"/>
      <c r="Y56" s="485"/>
    </row>
    <row r="57" spans="9:26" ht="15.3" customHeight="1" x14ac:dyDescent="0.55000000000000004">
      <c r="I57" s="889" t="s">
        <v>695</v>
      </c>
      <c r="J57" s="889"/>
      <c r="K57" s="889"/>
      <c r="L57" s="481"/>
      <c r="M57" s="889" t="s">
        <v>570</v>
      </c>
      <c r="N57" s="889"/>
      <c r="O57" s="889"/>
      <c r="P57" s="481"/>
      <c r="Q57" s="481"/>
      <c r="R57" s="889" t="s">
        <v>712</v>
      </c>
      <c r="S57" s="889"/>
      <c r="T57" s="889"/>
      <c r="U57" s="481"/>
      <c r="V57" s="481"/>
      <c r="W57" s="889" t="s">
        <v>578</v>
      </c>
      <c r="X57" s="889"/>
      <c r="Y57" s="889"/>
      <c r="Z57" s="889"/>
    </row>
    <row r="58" spans="9:26" ht="15.3" customHeight="1" x14ac:dyDescent="0.55000000000000004">
      <c r="I58" s="889"/>
      <c r="J58" s="889"/>
      <c r="K58" s="889"/>
      <c r="L58" s="481"/>
      <c r="M58" s="889"/>
      <c r="N58" s="889"/>
      <c r="O58" s="889"/>
      <c r="P58" s="481"/>
      <c r="Q58" s="481"/>
      <c r="R58" s="889"/>
      <c r="S58" s="889"/>
      <c r="T58" s="889"/>
      <c r="U58" s="481"/>
      <c r="V58" s="481"/>
      <c r="W58" s="889"/>
      <c r="X58" s="889"/>
      <c r="Y58" s="889"/>
      <c r="Z58" s="889"/>
    </row>
    <row r="59" spans="9:26" ht="22.8" customHeight="1" x14ac:dyDescent="0.55000000000000004">
      <c r="I59" s="889"/>
      <c r="J59" s="889"/>
      <c r="K59" s="889"/>
      <c r="L59" s="481"/>
      <c r="M59" s="889"/>
      <c r="N59" s="889"/>
      <c r="O59" s="889"/>
      <c r="P59" s="481"/>
      <c r="Q59" s="481"/>
      <c r="R59" s="889"/>
      <c r="S59" s="889"/>
      <c r="T59" s="889"/>
      <c r="U59" s="481"/>
      <c r="V59" s="481"/>
      <c r="W59" s="889"/>
      <c r="X59" s="889"/>
      <c r="Y59" s="889"/>
      <c r="Z59" s="889"/>
    </row>
    <row r="60" spans="9:26" ht="15.3" customHeight="1" x14ac:dyDescent="0.55000000000000004">
      <c r="I60" s="889"/>
      <c r="J60" s="889"/>
      <c r="K60" s="889"/>
      <c r="L60" s="345"/>
      <c r="M60" s="889"/>
      <c r="N60" s="889"/>
      <c r="O60" s="889"/>
      <c r="P60" s="481"/>
      <c r="Q60" s="481"/>
    </row>
    <row r="61" spans="9:26" ht="15.3" customHeight="1" x14ac:dyDescent="0.55000000000000004">
      <c r="I61" s="481"/>
      <c r="J61" s="481"/>
      <c r="K61" s="481"/>
      <c r="L61" s="345"/>
      <c r="M61" s="481"/>
      <c r="N61" s="481"/>
      <c r="O61" s="481"/>
      <c r="P61" s="481"/>
      <c r="Q61" s="481"/>
    </row>
    <row r="62" spans="9:26" ht="24.6" customHeight="1" x14ac:dyDescent="0.85">
      <c r="I62" s="895" t="s">
        <v>697</v>
      </c>
      <c r="J62" s="896"/>
      <c r="K62" s="896"/>
      <c r="L62" s="896"/>
      <c r="M62" s="896"/>
      <c r="N62" s="896"/>
      <c r="O62" s="896"/>
      <c r="P62" s="483"/>
      <c r="R62" s="897"/>
      <c r="S62" s="897"/>
      <c r="T62" s="897"/>
      <c r="U62" s="897"/>
      <c r="V62" s="897"/>
      <c r="W62" s="897"/>
      <c r="X62" s="897"/>
      <c r="Y62" s="897"/>
      <c r="Z62" s="484"/>
    </row>
    <row r="63" spans="9:26" ht="3.9" customHeight="1" x14ac:dyDescent="0.55000000000000004">
      <c r="Q63" s="473"/>
      <c r="Z63" s="466"/>
    </row>
    <row r="64" spans="9:26" ht="15.3" customHeight="1" x14ac:dyDescent="0.55000000000000004">
      <c r="I64" s="478" t="s">
        <v>445</v>
      </c>
      <c r="J64" s="478"/>
      <c r="K64" s="478"/>
      <c r="L64" s="479"/>
      <c r="M64" s="478" t="s">
        <v>572</v>
      </c>
      <c r="N64" s="478"/>
      <c r="O64" s="478"/>
      <c r="P64" s="478"/>
      <c r="Q64" s="479"/>
      <c r="R64" s="478" t="s">
        <v>698</v>
      </c>
      <c r="S64" s="470"/>
      <c r="T64" s="470"/>
      <c r="U64" s="470"/>
      <c r="V64" s="470"/>
      <c r="W64" s="478" t="s">
        <v>700</v>
      </c>
      <c r="X64" s="485"/>
      <c r="Y64" s="485"/>
    </row>
    <row r="65" spans="8:27" ht="15.3" customHeight="1" x14ac:dyDescent="0.55000000000000004">
      <c r="I65" s="889" t="s">
        <v>713</v>
      </c>
      <c r="J65" s="889"/>
      <c r="K65" s="889"/>
      <c r="L65" s="481"/>
      <c r="M65" s="889" t="s">
        <v>714</v>
      </c>
      <c r="N65" s="889"/>
      <c r="O65" s="889"/>
      <c r="P65" s="481"/>
      <c r="Q65" s="481"/>
      <c r="R65" s="889" t="s">
        <v>699</v>
      </c>
      <c r="S65" s="889"/>
      <c r="T65" s="889"/>
      <c r="U65" s="481"/>
      <c r="V65" s="481"/>
      <c r="W65" s="889" t="s">
        <v>715</v>
      </c>
      <c r="X65" s="889"/>
      <c r="Y65" s="889"/>
      <c r="Z65" s="889"/>
    </row>
    <row r="66" spans="8:27" ht="15.3" customHeight="1" x14ac:dyDescent="0.55000000000000004">
      <c r="I66" s="889"/>
      <c r="J66" s="889"/>
      <c r="K66" s="889"/>
      <c r="L66" s="481"/>
      <c r="M66" s="889"/>
      <c r="N66" s="889"/>
      <c r="O66" s="889"/>
      <c r="P66" s="481"/>
      <c r="Q66" s="481"/>
      <c r="R66" s="889"/>
      <c r="S66" s="889"/>
      <c r="T66" s="889"/>
      <c r="U66" s="481"/>
      <c r="V66" s="481"/>
      <c r="W66" s="889"/>
      <c r="X66" s="889"/>
      <c r="Y66" s="889"/>
      <c r="Z66" s="889"/>
    </row>
    <row r="67" spans="8:27" ht="22.5" customHeight="1" x14ac:dyDescent="0.55000000000000004">
      <c r="I67" s="889"/>
      <c r="J67" s="889"/>
      <c r="K67" s="889"/>
      <c r="L67" s="481"/>
      <c r="M67" s="889"/>
      <c r="N67" s="889"/>
      <c r="O67" s="889"/>
      <c r="P67" s="481"/>
      <c r="Q67" s="481"/>
      <c r="R67" s="889"/>
      <c r="S67" s="889"/>
      <c r="T67" s="889"/>
      <c r="U67" s="481"/>
      <c r="V67" s="481"/>
      <c r="W67" s="889"/>
      <c r="X67" s="889"/>
      <c r="Y67" s="889"/>
      <c r="Z67" s="889"/>
    </row>
    <row r="68" spans="8:27" ht="22.5" customHeight="1" x14ac:dyDescent="0.55000000000000004">
      <c r="I68" s="889"/>
      <c r="J68" s="889"/>
      <c r="K68" s="889"/>
      <c r="L68" s="481"/>
      <c r="M68" s="889"/>
      <c r="N68" s="889"/>
      <c r="O68" s="889"/>
      <c r="P68" s="481"/>
      <c r="Q68" s="481"/>
      <c r="R68" s="481"/>
      <c r="S68" s="481"/>
      <c r="T68" s="481"/>
      <c r="U68" s="481"/>
      <c r="V68" s="481"/>
      <c r="W68" s="481"/>
      <c r="X68" s="481"/>
      <c r="Y68" s="481"/>
      <c r="Z68" s="481"/>
    </row>
    <row r="69" spans="8:27" ht="15.3" customHeight="1" x14ac:dyDescent="0.55000000000000004">
      <c r="I69" s="889"/>
      <c r="J69" s="889"/>
      <c r="K69" s="889"/>
      <c r="L69" s="345"/>
      <c r="M69" s="889"/>
      <c r="N69" s="889"/>
      <c r="O69" s="889"/>
      <c r="P69" s="481"/>
      <c r="Q69" s="481"/>
    </row>
    <row r="70" spans="8:27" ht="15.3" customHeight="1" x14ac:dyDescent="0.55000000000000004">
      <c r="H70" s="486"/>
      <c r="I70" s="487"/>
      <c r="J70" s="487"/>
      <c r="K70" s="487"/>
      <c r="L70" s="488"/>
      <c r="M70" s="487"/>
      <c r="N70" s="487"/>
      <c r="O70" s="487"/>
      <c r="P70" s="487"/>
      <c r="Q70" s="487"/>
      <c r="R70" s="489"/>
      <c r="S70" s="489"/>
      <c r="T70" s="489"/>
      <c r="U70" s="489"/>
      <c r="V70" s="489"/>
      <c r="W70" s="489"/>
      <c r="X70" s="489"/>
      <c r="Y70" s="489"/>
      <c r="Z70" s="489"/>
      <c r="AA70" s="490"/>
    </row>
    <row r="71" spans="8:27" ht="15.3" customHeight="1" x14ac:dyDescent="0.6">
      <c r="H71" s="491"/>
      <c r="I71" s="481"/>
      <c r="J71" s="481"/>
      <c r="K71" s="481"/>
      <c r="L71" s="345"/>
      <c r="M71" s="492" t="s">
        <v>589</v>
      </c>
      <c r="N71" s="481"/>
      <c r="O71" s="481"/>
      <c r="Q71" s="467"/>
      <c r="S71" s="493" t="s">
        <v>875</v>
      </c>
      <c r="T71" s="494"/>
      <c r="AA71" s="495"/>
    </row>
    <row r="72" spans="8:27" ht="8.4" customHeight="1" x14ac:dyDescent="0.6">
      <c r="H72" s="491"/>
      <c r="I72" s="481"/>
      <c r="J72" s="481"/>
      <c r="K72" s="481"/>
      <c r="L72" s="345"/>
      <c r="M72" s="492"/>
      <c r="N72" s="481"/>
      <c r="O72" s="481"/>
      <c r="Q72" s="467"/>
      <c r="S72" s="493"/>
      <c r="T72" s="494"/>
      <c r="AA72" s="495"/>
    </row>
    <row r="73" spans="8:27" ht="21" customHeight="1" x14ac:dyDescent="0.85">
      <c r="H73" s="491"/>
      <c r="I73" s="481"/>
      <c r="J73" s="496" t="s">
        <v>579</v>
      </c>
      <c r="K73" s="497"/>
      <c r="L73" s="497"/>
      <c r="M73" s="492" t="s">
        <v>587</v>
      </c>
      <c r="N73" s="497"/>
      <c r="O73" s="497"/>
      <c r="P73" s="497"/>
      <c r="S73" s="493" t="s">
        <v>588</v>
      </c>
      <c r="AA73" s="495"/>
    </row>
    <row r="74" spans="8:27" ht="7.2" customHeight="1" x14ac:dyDescent="0.7">
      <c r="H74" s="491"/>
      <c r="I74" s="481"/>
      <c r="J74" s="498"/>
      <c r="K74" s="481"/>
      <c r="L74" s="345"/>
      <c r="M74" s="492"/>
      <c r="N74" s="481"/>
      <c r="O74" s="481"/>
      <c r="S74" s="493"/>
      <c r="AA74" s="495"/>
    </row>
    <row r="75" spans="8:27" ht="15.3" customHeight="1" x14ac:dyDescent="0.55000000000000004">
      <c r="H75" s="491"/>
      <c r="I75" s="481"/>
      <c r="K75" s="481"/>
      <c r="L75" s="345"/>
      <c r="M75" s="492" t="s">
        <v>701</v>
      </c>
      <c r="N75" s="481"/>
      <c r="O75" s="481"/>
      <c r="P75" s="492"/>
      <c r="S75" s="499" t="s">
        <v>702</v>
      </c>
      <c r="AA75" s="495"/>
    </row>
    <row r="76" spans="8:27" ht="15.3" customHeight="1" x14ac:dyDescent="0.55000000000000004">
      <c r="H76" s="500"/>
      <c r="I76" s="501"/>
      <c r="J76" s="501"/>
      <c r="K76" s="501"/>
      <c r="L76" s="502"/>
      <c r="M76" s="501"/>
      <c r="N76" s="501"/>
      <c r="O76" s="501"/>
      <c r="P76" s="501"/>
      <c r="Q76" s="501"/>
      <c r="R76" s="503"/>
      <c r="S76" s="503"/>
      <c r="T76" s="503"/>
      <c r="U76" s="503"/>
      <c r="V76" s="503"/>
      <c r="W76" s="503"/>
      <c r="X76" s="503"/>
      <c r="Y76" s="503"/>
      <c r="Z76" s="503"/>
      <c r="AA76" s="504"/>
    </row>
    <row r="77" spans="8:27" ht="15.3" customHeight="1" x14ac:dyDescent="0.55000000000000004">
      <c r="I77" s="481"/>
      <c r="J77" s="481"/>
      <c r="K77" s="481"/>
      <c r="L77" s="345"/>
      <c r="M77" s="481"/>
      <c r="N77" s="481"/>
      <c r="O77" s="481"/>
      <c r="P77" s="481"/>
      <c r="Q77" s="481"/>
    </row>
    <row r="78" spans="8:27" ht="18.899999999999999" customHeight="1" x14ac:dyDescent="0.55000000000000004">
      <c r="I78" s="478" t="s">
        <v>573</v>
      </c>
      <c r="K78" s="481"/>
      <c r="L78" s="345"/>
      <c r="N78" s="481"/>
      <c r="O78" s="481"/>
      <c r="P78" s="481"/>
      <c r="Q78" s="481"/>
      <c r="S78" s="506" t="s">
        <v>574</v>
      </c>
    </row>
    <row r="79" spans="8:27" ht="15.3" customHeight="1" x14ac:dyDescent="0.55000000000000004">
      <c r="I79" s="345" t="s">
        <v>704</v>
      </c>
      <c r="S79" s="893" t="s">
        <v>703</v>
      </c>
      <c r="T79" s="893"/>
      <c r="U79" s="893"/>
      <c r="V79" s="893"/>
      <c r="W79" s="893"/>
      <c r="X79" s="893"/>
      <c r="Y79" s="893"/>
      <c r="Z79" s="893"/>
    </row>
    <row r="80" spans="8:27" x14ac:dyDescent="0.55000000000000004">
      <c r="I80" s="345" t="s">
        <v>759</v>
      </c>
      <c r="S80" s="893"/>
      <c r="T80" s="893"/>
      <c r="U80" s="893"/>
      <c r="V80" s="893"/>
      <c r="W80" s="893"/>
      <c r="X80" s="893"/>
      <c r="Y80" s="893"/>
      <c r="Z80" s="893"/>
    </row>
    <row r="81" spans="9:27" x14ac:dyDescent="0.55000000000000004">
      <c r="I81" s="345" t="s">
        <v>705</v>
      </c>
      <c r="S81" s="893"/>
      <c r="T81" s="893"/>
      <c r="U81" s="893"/>
      <c r="V81" s="893"/>
      <c r="W81" s="893"/>
      <c r="X81" s="893"/>
      <c r="Y81" s="893"/>
      <c r="Z81" s="893"/>
    </row>
    <row r="82" spans="9:27" ht="14.4" customHeight="1" x14ac:dyDescent="0.55000000000000004">
      <c r="S82" s="460"/>
    </row>
    <row r="83" spans="9:27" ht="14.4" customHeight="1" x14ac:dyDescent="0.55000000000000004">
      <c r="I83" s="345" t="s">
        <v>706</v>
      </c>
    </row>
    <row r="84" spans="9:27" ht="14.4" customHeight="1" x14ac:dyDescent="0.6">
      <c r="S84" s="507"/>
      <c r="T84" s="507"/>
      <c r="U84" s="507"/>
      <c r="W84" s="507"/>
      <c r="X84" s="507"/>
      <c r="Y84" s="507"/>
      <c r="Z84" s="507"/>
      <c r="AA84" s="507"/>
    </row>
    <row r="85" spans="9:27" x14ac:dyDescent="0.55000000000000004">
      <c r="J85" s="338"/>
      <c r="K85" s="338"/>
      <c r="L85" s="338"/>
      <c r="M85" s="338"/>
      <c r="N85" s="338"/>
      <c r="O85" s="338"/>
      <c r="P85" s="338"/>
      <c r="Q85" s="338"/>
      <c r="R85" s="338"/>
      <c r="S85" s="338"/>
      <c r="T85" s="338"/>
      <c r="U85" s="338"/>
      <c r="V85" s="338"/>
    </row>
    <row r="86" spans="9:27" x14ac:dyDescent="0.55000000000000004">
      <c r="J86" s="338"/>
      <c r="K86" s="338"/>
      <c r="L86" s="338"/>
      <c r="M86" s="338"/>
      <c r="N86" s="338"/>
      <c r="O86" s="338"/>
      <c r="P86" s="338"/>
      <c r="Q86" s="338"/>
      <c r="R86" s="338"/>
      <c r="S86" s="338"/>
      <c r="T86" s="338"/>
      <c r="U86" s="338"/>
      <c r="V86" s="338"/>
    </row>
    <row r="87" spans="9:27" x14ac:dyDescent="0.55000000000000004">
      <c r="J87" s="338"/>
      <c r="K87" s="338"/>
      <c r="L87" s="338"/>
      <c r="M87" s="338"/>
      <c r="N87" s="338"/>
      <c r="O87" s="338"/>
      <c r="P87" s="338"/>
      <c r="Q87" s="338"/>
      <c r="R87" s="338"/>
      <c r="S87" s="338"/>
      <c r="T87" s="338"/>
      <c r="U87" s="338"/>
      <c r="V87" s="338"/>
    </row>
    <row r="88" spans="9:27" x14ac:dyDescent="0.55000000000000004">
      <c r="J88" s="338"/>
      <c r="K88" s="338"/>
      <c r="L88" s="338"/>
      <c r="M88" s="338"/>
      <c r="N88" s="338"/>
      <c r="O88" s="338"/>
      <c r="P88" s="338"/>
      <c r="Q88" s="338"/>
      <c r="R88" s="338"/>
      <c r="S88" s="338"/>
      <c r="T88" s="338"/>
      <c r="U88" s="338"/>
      <c r="V88" s="338"/>
    </row>
    <row r="89" spans="9:27" x14ac:dyDescent="0.55000000000000004">
      <c r="J89" s="338"/>
      <c r="K89" s="338"/>
      <c r="L89" s="338"/>
      <c r="M89" s="338"/>
      <c r="N89" s="338"/>
      <c r="O89" s="338"/>
      <c r="P89" s="338"/>
      <c r="Q89" s="338"/>
      <c r="R89" s="338"/>
      <c r="S89" s="338"/>
      <c r="T89" s="338"/>
      <c r="U89" s="338"/>
      <c r="V89" s="338"/>
    </row>
    <row r="90" spans="9:27" x14ac:dyDescent="0.55000000000000004">
      <c r="J90" s="338"/>
      <c r="K90" s="338"/>
      <c r="L90" s="338"/>
      <c r="M90" s="338"/>
      <c r="N90" s="338"/>
      <c r="O90" s="338"/>
      <c r="P90" s="338"/>
      <c r="Q90" s="338"/>
      <c r="R90" s="338"/>
      <c r="S90" s="338"/>
      <c r="T90" s="338"/>
      <c r="U90" s="338"/>
      <c r="V90" s="338"/>
    </row>
    <row r="91" spans="9:27" x14ac:dyDescent="0.55000000000000004">
      <c r="J91" s="338"/>
      <c r="K91" s="338"/>
      <c r="L91" s="338"/>
      <c r="M91" s="338"/>
      <c r="N91" s="338"/>
      <c r="O91" s="338"/>
      <c r="P91" s="338"/>
      <c r="Q91" s="338"/>
      <c r="R91" s="338"/>
      <c r="S91" s="338"/>
      <c r="T91" s="338"/>
      <c r="U91" s="338"/>
      <c r="V91" s="338"/>
    </row>
    <row r="92" spans="9:27" x14ac:dyDescent="0.55000000000000004">
      <c r="J92" s="338"/>
      <c r="K92" s="338"/>
      <c r="L92" s="338"/>
      <c r="M92" s="338"/>
      <c r="N92" s="338"/>
      <c r="O92" s="338"/>
      <c r="P92" s="338"/>
      <c r="Q92" s="338"/>
      <c r="R92" s="338"/>
      <c r="S92" s="338"/>
      <c r="T92" s="338"/>
      <c r="U92" s="338"/>
      <c r="V92" s="338"/>
    </row>
    <row r="93" spans="9:27" x14ac:dyDescent="0.55000000000000004">
      <c r="J93" s="338"/>
      <c r="K93" s="338"/>
      <c r="L93" s="338"/>
      <c r="M93" s="338"/>
      <c r="N93" s="338"/>
      <c r="O93" s="338"/>
      <c r="P93" s="338"/>
      <c r="Q93" s="338"/>
      <c r="R93" s="338"/>
      <c r="S93" s="338"/>
      <c r="T93" s="338"/>
      <c r="U93" s="338"/>
      <c r="V93" s="338"/>
    </row>
    <row r="94" spans="9:27" x14ac:dyDescent="0.55000000000000004">
      <c r="J94" s="338"/>
      <c r="K94" s="338"/>
      <c r="L94" s="338"/>
      <c r="M94" s="338"/>
      <c r="N94" s="338"/>
      <c r="O94" s="338"/>
      <c r="P94" s="338"/>
      <c r="Q94" s="338"/>
      <c r="R94" s="338"/>
      <c r="S94" s="338"/>
      <c r="T94" s="338"/>
      <c r="U94" s="338"/>
      <c r="V94" s="338"/>
    </row>
    <row r="95" spans="9:27" x14ac:dyDescent="0.55000000000000004">
      <c r="J95" s="338"/>
      <c r="K95" s="338"/>
      <c r="L95" s="338"/>
      <c r="M95" s="338"/>
      <c r="N95" s="338"/>
      <c r="O95" s="338"/>
      <c r="P95" s="338"/>
      <c r="Q95" s="338"/>
      <c r="R95" s="338"/>
      <c r="S95" s="338"/>
      <c r="T95" s="338"/>
      <c r="U95" s="338"/>
      <c r="V95" s="338"/>
    </row>
    <row r="96" spans="9:27" x14ac:dyDescent="0.55000000000000004">
      <c r="J96" s="338"/>
      <c r="K96" s="338"/>
      <c r="L96" s="338"/>
      <c r="M96" s="338"/>
      <c r="N96" s="338"/>
      <c r="O96" s="338"/>
      <c r="P96" s="338"/>
      <c r="Q96" s="338"/>
      <c r="R96" s="338"/>
      <c r="S96" s="338"/>
      <c r="T96" s="338"/>
      <c r="U96" s="338"/>
      <c r="V96" s="338"/>
    </row>
    <row r="97" spans="10:24" x14ac:dyDescent="0.55000000000000004">
      <c r="J97" s="338"/>
      <c r="K97" s="338"/>
      <c r="L97" s="338"/>
      <c r="M97" s="338"/>
      <c r="N97" s="338"/>
      <c r="O97" s="338"/>
      <c r="P97" s="338"/>
      <c r="Q97" s="338"/>
      <c r="R97" s="338"/>
      <c r="S97" s="338"/>
      <c r="T97" s="338"/>
      <c r="U97" s="338"/>
      <c r="V97" s="338"/>
    </row>
    <row r="98" spans="10:24" x14ac:dyDescent="0.55000000000000004">
      <c r="J98" s="338"/>
      <c r="K98" s="338"/>
      <c r="L98" s="338"/>
      <c r="M98" s="338"/>
      <c r="N98" s="338"/>
      <c r="O98" s="338"/>
      <c r="P98" s="338"/>
      <c r="Q98" s="338"/>
      <c r="R98" s="338"/>
      <c r="S98" s="338"/>
      <c r="T98" s="338"/>
      <c r="U98" s="338"/>
      <c r="V98" s="338"/>
    </row>
    <row r="99" spans="10:24" x14ac:dyDescent="0.55000000000000004">
      <c r="J99" s="338"/>
      <c r="K99" s="338"/>
      <c r="L99" s="338"/>
      <c r="M99" s="338"/>
      <c r="N99" s="338"/>
      <c r="O99" s="338"/>
      <c r="P99" s="338"/>
      <c r="Q99" s="338"/>
      <c r="R99" s="338"/>
      <c r="S99" s="338"/>
      <c r="T99" s="338"/>
      <c r="U99" s="338"/>
      <c r="V99" s="338"/>
    </row>
    <row r="100" spans="10:24" x14ac:dyDescent="0.55000000000000004">
      <c r="J100" s="338"/>
      <c r="K100" s="338"/>
      <c r="L100" s="338"/>
      <c r="M100" s="338"/>
      <c r="N100" s="338"/>
      <c r="O100" s="338"/>
      <c r="P100" s="338"/>
      <c r="Q100" s="338"/>
      <c r="R100" s="338"/>
      <c r="S100" s="338"/>
      <c r="T100" s="338"/>
      <c r="U100" s="338"/>
      <c r="V100" s="338"/>
    </row>
    <row r="101" spans="10:24" x14ac:dyDescent="0.55000000000000004">
      <c r="J101" s="338"/>
      <c r="K101" s="338"/>
      <c r="L101" s="338"/>
      <c r="M101" s="338"/>
      <c r="N101" s="338"/>
      <c r="O101" s="338"/>
      <c r="P101" s="338"/>
      <c r="Q101" s="338"/>
      <c r="R101" s="338"/>
      <c r="S101" s="338"/>
      <c r="T101" s="338"/>
      <c r="U101" s="338"/>
      <c r="V101" s="338"/>
    </row>
    <row r="102" spans="10:24" x14ac:dyDescent="0.55000000000000004">
      <c r="J102" s="338"/>
      <c r="K102" s="338"/>
      <c r="L102" s="338"/>
      <c r="M102" s="338"/>
      <c r="N102" s="338"/>
      <c r="O102" s="338"/>
      <c r="P102" s="338"/>
      <c r="Q102" s="338"/>
      <c r="R102" s="338"/>
      <c r="S102" s="338"/>
      <c r="T102" s="338"/>
      <c r="U102" s="338"/>
      <c r="V102" s="338"/>
    </row>
    <row r="103" spans="10:24" x14ac:dyDescent="0.55000000000000004">
      <c r="J103" s="338"/>
      <c r="K103" s="338"/>
      <c r="L103" s="338"/>
      <c r="M103" s="338"/>
      <c r="N103" s="338"/>
      <c r="O103" s="338"/>
      <c r="P103" s="338"/>
      <c r="Q103" s="338"/>
      <c r="R103" s="338"/>
      <c r="S103" s="338"/>
      <c r="T103" s="338"/>
      <c r="U103" s="338"/>
      <c r="V103" s="338"/>
    </row>
    <row r="104" spans="10:24" x14ac:dyDescent="0.55000000000000004">
      <c r="J104" s="338"/>
      <c r="K104" s="338"/>
      <c r="L104" s="338"/>
      <c r="M104" s="338"/>
      <c r="N104" s="338"/>
      <c r="O104" s="338"/>
      <c r="P104" s="338"/>
      <c r="Q104" s="338"/>
      <c r="R104" s="338"/>
      <c r="S104" s="338"/>
      <c r="T104" s="338"/>
      <c r="U104" s="338"/>
      <c r="V104" s="338"/>
    </row>
    <row r="105" spans="10:24" x14ac:dyDescent="0.55000000000000004">
      <c r="K105" s="338"/>
      <c r="L105" s="338"/>
      <c r="M105" s="338"/>
      <c r="N105" s="338"/>
      <c r="O105" s="338"/>
      <c r="P105" s="338"/>
      <c r="Q105" s="338"/>
      <c r="R105" s="338"/>
      <c r="S105" s="338"/>
      <c r="T105" s="338"/>
      <c r="U105" s="338"/>
      <c r="V105" s="338"/>
    </row>
    <row r="106" spans="10:24" x14ac:dyDescent="0.55000000000000004">
      <c r="K106" s="338"/>
      <c r="L106" s="338"/>
      <c r="M106" s="338"/>
      <c r="N106" s="338"/>
      <c r="O106" s="338"/>
      <c r="P106" s="338"/>
      <c r="Q106" s="338"/>
      <c r="R106" s="338"/>
      <c r="S106" s="338"/>
      <c r="T106" s="338"/>
      <c r="U106" s="338"/>
      <c r="V106" s="338"/>
    </row>
    <row r="107" spans="10:24" ht="19.2" x14ac:dyDescent="0.7">
      <c r="K107" s="338"/>
      <c r="L107" s="508" t="s">
        <v>681</v>
      </c>
      <c r="M107" s="338"/>
      <c r="N107" s="338"/>
      <c r="O107" s="338"/>
      <c r="P107" s="338"/>
      <c r="Q107" s="338"/>
      <c r="R107" s="338"/>
      <c r="S107" s="509" t="s">
        <v>686</v>
      </c>
      <c r="V107" s="338"/>
    </row>
    <row r="108" spans="10:24" ht="7.5" customHeight="1" x14ac:dyDescent="0.55000000000000004">
      <c r="K108" s="338"/>
      <c r="L108" s="359"/>
      <c r="M108" s="338"/>
      <c r="N108" s="338"/>
      <c r="O108" s="338"/>
      <c r="P108" s="338"/>
      <c r="Q108" s="338"/>
      <c r="R108" s="338"/>
      <c r="S108" s="338"/>
      <c r="T108" s="360"/>
      <c r="U108" s="360"/>
      <c r="V108" s="338"/>
    </row>
    <row r="109" spans="10:24" ht="16.5" customHeight="1" x14ac:dyDescent="0.55000000000000004">
      <c r="K109" s="338"/>
      <c r="L109" s="338"/>
      <c r="M109" s="338"/>
      <c r="N109" s="338"/>
      <c r="O109" s="338"/>
      <c r="P109" s="338"/>
      <c r="Q109" s="338"/>
      <c r="R109" s="338"/>
      <c r="S109" s="338"/>
      <c r="T109" s="338"/>
      <c r="U109" s="338"/>
      <c r="V109" s="338"/>
    </row>
    <row r="110" spans="10:24" x14ac:dyDescent="0.55000000000000004">
      <c r="K110" s="338"/>
      <c r="L110" s="338"/>
      <c r="M110" s="338"/>
      <c r="N110" s="338"/>
      <c r="O110" s="338"/>
      <c r="P110" s="338"/>
      <c r="Q110" s="338"/>
      <c r="R110" s="338"/>
      <c r="S110" s="338"/>
      <c r="T110" s="338"/>
      <c r="U110" s="338"/>
      <c r="V110" s="338"/>
    </row>
    <row r="111" spans="10:24" ht="14.4" customHeight="1" x14ac:dyDescent="0.55000000000000004">
      <c r="K111" s="338"/>
      <c r="L111" s="338"/>
      <c r="M111" s="338"/>
      <c r="N111" s="338"/>
      <c r="O111" s="338"/>
      <c r="P111" s="338"/>
      <c r="Q111" s="338"/>
      <c r="R111" s="338"/>
      <c r="S111" s="338"/>
      <c r="T111" s="338"/>
      <c r="U111" s="338"/>
      <c r="V111" s="338"/>
    </row>
    <row r="112" spans="10:24" ht="14.4" customHeight="1" x14ac:dyDescent="0.55000000000000004">
      <c r="M112" s="338"/>
      <c r="N112" s="338"/>
      <c r="O112" s="338"/>
      <c r="P112" s="338"/>
      <c r="Q112" s="338"/>
      <c r="R112" s="338"/>
      <c r="S112" s="338"/>
      <c r="T112" s="338"/>
      <c r="U112" s="338"/>
      <c r="V112" s="338"/>
      <c r="W112" s="338"/>
      <c r="X112" s="338"/>
    </row>
    <row r="113" spans="15:24" x14ac:dyDescent="0.55000000000000004">
      <c r="X113" s="510"/>
    </row>
    <row r="114" spans="15:24" x14ac:dyDescent="0.55000000000000004">
      <c r="X114" s="510"/>
    </row>
    <row r="115" spans="15:24" ht="23.4" customHeight="1" x14ac:dyDescent="0.55000000000000004">
      <c r="X115" s="510"/>
    </row>
    <row r="116" spans="15:24" ht="14.4" customHeight="1" x14ac:dyDescent="0.55000000000000004">
      <c r="X116" s="510"/>
    </row>
    <row r="117" spans="15:24" x14ac:dyDescent="0.55000000000000004">
      <c r="X117" s="510"/>
    </row>
    <row r="120" spans="15:24" ht="15.6" x14ac:dyDescent="0.6">
      <c r="R120" s="507"/>
      <c r="S120" s="507"/>
      <c r="T120" s="507"/>
      <c r="U120" s="507"/>
    </row>
    <row r="121" spans="15:24" ht="15.6" x14ac:dyDescent="0.6">
      <c r="R121" s="507"/>
      <c r="S121" s="507"/>
      <c r="T121" s="507"/>
      <c r="U121" s="507"/>
    </row>
    <row r="125" spans="15:24" x14ac:dyDescent="0.55000000000000004">
      <c r="O125" s="345"/>
      <c r="P125" s="345"/>
    </row>
    <row r="126" spans="15:24" x14ac:dyDescent="0.55000000000000004">
      <c r="O126" s="345"/>
      <c r="P126" s="345"/>
    </row>
    <row r="127" spans="15:24" x14ac:dyDescent="0.55000000000000004">
      <c r="O127" s="345"/>
      <c r="P127" s="345"/>
    </row>
    <row r="128" spans="15:24" x14ac:dyDescent="0.55000000000000004">
      <c r="O128" s="345"/>
      <c r="P128" s="345"/>
    </row>
    <row r="129" spans="15:16" x14ac:dyDescent="0.55000000000000004">
      <c r="O129" s="345"/>
      <c r="P129" s="345"/>
    </row>
    <row r="130" spans="15:16" x14ac:dyDescent="0.55000000000000004">
      <c r="O130" s="345"/>
      <c r="P130" s="345"/>
    </row>
    <row r="131" spans="15:16" x14ac:dyDescent="0.55000000000000004">
      <c r="O131" s="345"/>
      <c r="P131" s="345"/>
    </row>
    <row r="132" spans="15:16" x14ac:dyDescent="0.55000000000000004">
      <c r="O132" s="345"/>
      <c r="P132" s="345"/>
    </row>
    <row r="133" spans="15:16" x14ac:dyDescent="0.55000000000000004">
      <c r="O133" s="345"/>
      <c r="P133" s="345"/>
    </row>
    <row r="134" spans="15:16" x14ac:dyDescent="0.55000000000000004">
      <c r="O134" s="345"/>
      <c r="P134" s="345"/>
    </row>
    <row r="135" spans="15:16" x14ac:dyDescent="0.55000000000000004">
      <c r="O135" s="492"/>
      <c r="P135" s="492"/>
    </row>
    <row r="136" spans="15:16" x14ac:dyDescent="0.55000000000000004">
      <c r="O136" s="345"/>
      <c r="P136" s="345"/>
    </row>
    <row r="140" spans="15:16" x14ac:dyDescent="0.55000000000000004">
      <c r="O140" s="345"/>
      <c r="P140" s="345"/>
    </row>
    <row r="141" spans="15:16" x14ac:dyDescent="0.55000000000000004">
      <c r="O141" s="345"/>
      <c r="P141" s="345"/>
    </row>
    <row r="142" spans="15:16" x14ac:dyDescent="0.55000000000000004">
      <c r="O142" s="345"/>
      <c r="P142" s="345"/>
    </row>
    <row r="143" spans="15:16" x14ac:dyDescent="0.55000000000000004">
      <c r="O143" s="345"/>
      <c r="P143" s="345"/>
    </row>
  </sheetData>
  <sheetProtection algorithmName="SHA-512" hashValue="wbwk+k5G5yEmnKltuxvrHUYoxDzvgafGLteBJOP02IeJmfYCjxK7ExH5YJGMRdHmTLpS1CULtLucUyivY/3aiA==" saltValue="8w4w+SYprJoTwO3EeWHnBA==" spinCount="100000" sheet="1" objects="1" scenarios="1" selectLockedCells="1"/>
  <mergeCells count="21">
    <mergeCell ref="N7:O20"/>
    <mergeCell ref="W19:AA20"/>
    <mergeCell ref="S79:Z81"/>
    <mergeCell ref="Q13:S14"/>
    <mergeCell ref="I62:O62"/>
    <mergeCell ref="R62:Y62"/>
    <mergeCell ref="I65:K69"/>
    <mergeCell ref="M65:O69"/>
    <mergeCell ref="R65:T67"/>
    <mergeCell ref="W65:Z67"/>
    <mergeCell ref="I54:O54"/>
    <mergeCell ref="R54:Y54"/>
    <mergeCell ref="I57:K60"/>
    <mergeCell ref="M57:O60"/>
    <mergeCell ref="R57:T59"/>
    <mergeCell ref="W57:Z59"/>
    <mergeCell ref="I26:K29"/>
    <mergeCell ref="M26:O29"/>
    <mergeCell ref="R26:U29"/>
    <mergeCell ref="W26:Z29"/>
    <mergeCell ref="N33:W35"/>
  </mergeCells>
  <pageMargins left="0.7" right="0.7" top="0.75" bottom="0.75" header="0.3" footer="0.3"/>
  <pageSetup paperSize="9" scale="70" fitToHeight="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FBE1-C677-40F6-9E06-BF9758CA1F83}">
  <sheetPr codeName="Blad6"/>
  <dimension ref="A1:U23"/>
  <sheetViews>
    <sheetView workbookViewId="0"/>
  </sheetViews>
  <sheetFormatPr defaultRowHeight="14.4" x14ac:dyDescent="0.55000000000000004"/>
  <cols>
    <col min="1" max="16384" width="8.83984375" style="338"/>
  </cols>
  <sheetData>
    <row r="1" spans="1:21" x14ac:dyDescent="0.55000000000000004">
      <c r="A1" s="335"/>
    </row>
    <row r="2" spans="1:21" ht="14.4" customHeight="1" x14ac:dyDescent="0.7">
      <c r="N2" s="635" t="s">
        <v>640</v>
      </c>
    </row>
    <row r="3" spans="1:21" ht="14.4" customHeight="1" x14ac:dyDescent="0.55000000000000004">
      <c r="I3" s="898"/>
      <c r="J3" s="898"/>
      <c r="K3" s="898"/>
      <c r="L3" s="898"/>
      <c r="M3" s="899" t="s">
        <v>817</v>
      </c>
      <c r="N3" s="899"/>
      <c r="O3" s="899"/>
      <c r="P3" s="899"/>
      <c r="Q3" s="899"/>
      <c r="R3" s="899"/>
      <c r="S3" s="636"/>
      <c r="T3" s="636"/>
      <c r="U3" s="636"/>
    </row>
    <row r="4" spans="1:21" ht="14.4" customHeight="1" x14ac:dyDescent="0.55000000000000004">
      <c r="I4" s="898"/>
      <c r="J4" s="898"/>
      <c r="K4" s="898"/>
      <c r="L4" s="898"/>
      <c r="M4" s="899"/>
      <c r="N4" s="899"/>
      <c r="O4" s="899"/>
      <c r="P4" s="899"/>
      <c r="Q4" s="899"/>
      <c r="R4" s="899"/>
      <c r="S4" s="636"/>
      <c r="T4" s="636"/>
      <c r="U4" s="636"/>
    </row>
    <row r="5" spans="1:21" ht="14.4" customHeight="1" x14ac:dyDescent="0.55000000000000004"/>
    <row r="6" spans="1:21" ht="19.2" x14ac:dyDescent="0.7">
      <c r="D6" s="637" t="s">
        <v>746</v>
      </c>
    </row>
    <row r="7" spans="1:21" ht="19.2" x14ac:dyDescent="0.7">
      <c r="I7" s="357" t="s">
        <v>636</v>
      </c>
    </row>
    <row r="9" spans="1:21" x14ac:dyDescent="0.55000000000000004">
      <c r="I9" s="338" t="s">
        <v>744</v>
      </c>
    </row>
    <row r="10" spans="1:21" x14ac:dyDescent="0.55000000000000004">
      <c r="I10" s="338" t="s">
        <v>633</v>
      </c>
    </row>
    <row r="11" spans="1:21" x14ac:dyDescent="0.55000000000000004">
      <c r="I11" s="338" t="s">
        <v>638</v>
      </c>
    </row>
    <row r="14" spans="1:21" x14ac:dyDescent="0.55000000000000004">
      <c r="I14" s="338" t="s">
        <v>632</v>
      </c>
      <c r="S14" s="638" t="s">
        <v>745</v>
      </c>
    </row>
    <row r="17" spans="9:19" x14ac:dyDescent="0.55000000000000004">
      <c r="I17" s="338" t="s">
        <v>637</v>
      </c>
    </row>
    <row r="18" spans="9:19" x14ac:dyDescent="0.55000000000000004">
      <c r="I18" s="338" t="s">
        <v>634</v>
      </c>
    </row>
    <row r="19" spans="9:19" x14ac:dyDescent="0.55000000000000004">
      <c r="I19" s="338" t="s">
        <v>639</v>
      </c>
    </row>
    <row r="21" spans="9:19" x14ac:dyDescent="0.55000000000000004">
      <c r="I21" s="338" t="s">
        <v>763</v>
      </c>
    </row>
    <row r="22" spans="9:19" x14ac:dyDescent="0.55000000000000004">
      <c r="I22" s="338" t="s">
        <v>635</v>
      </c>
      <c r="S22" s="638" t="s">
        <v>745</v>
      </c>
    </row>
    <row r="23" spans="9:19" x14ac:dyDescent="0.55000000000000004">
      <c r="I23" s="338" t="s">
        <v>567</v>
      </c>
    </row>
  </sheetData>
  <mergeCells count="2">
    <mergeCell ref="I3:L4"/>
    <mergeCell ref="M3:R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A57C8-6406-47FA-A31D-539E7B359D46}">
  <sheetPr codeName="Blad7"/>
  <dimension ref="A1:S94"/>
  <sheetViews>
    <sheetView workbookViewId="0">
      <selection activeCell="L6" sqref="L6:M6"/>
    </sheetView>
  </sheetViews>
  <sheetFormatPr defaultRowHeight="14.4" x14ac:dyDescent="0.55000000000000004"/>
  <cols>
    <col min="1" max="6" width="8.83984375" style="511"/>
    <col min="7" max="7" width="13.578125" style="511" customWidth="1"/>
    <col min="8" max="8" width="8.83984375" style="511"/>
    <col min="9" max="9" width="11.83984375" style="511" customWidth="1"/>
    <col min="10" max="10" width="14.20703125" style="511" customWidth="1"/>
    <col min="11" max="11" width="8.83984375" style="511" customWidth="1"/>
    <col min="12" max="12" width="22.41796875" style="511" customWidth="1"/>
    <col min="13" max="13" width="6.734375" style="511" customWidth="1"/>
    <col min="14" max="14" width="4.5234375" style="511" customWidth="1"/>
    <col min="15" max="15" width="6.5234375" style="511" customWidth="1"/>
    <col min="16" max="16" width="6.3125" style="511" customWidth="1"/>
    <col min="17" max="17" width="13.9453125" style="511" customWidth="1"/>
    <col min="18" max="18" width="11.05078125" style="511" customWidth="1"/>
    <col min="19" max="16384" width="8.83984375" style="511"/>
  </cols>
  <sheetData>
    <row r="1" spans="1:19" ht="6.6" customHeight="1" x14ac:dyDescent="0.55000000000000004">
      <c r="A1" s="525"/>
    </row>
    <row r="2" spans="1:19" ht="3.3" customHeight="1" x14ac:dyDescent="0.55000000000000004"/>
    <row r="3" spans="1:19" ht="45.3" customHeight="1" x14ac:dyDescent="1.1000000000000001">
      <c r="F3" s="512"/>
      <c r="P3" s="513"/>
      <c r="Q3" s="514"/>
      <c r="R3" s="515"/>
    </row>
    <row r="4" spans="1:19" ht="15.6" x14ac:dyDescent="0.6">
      <c r="R4" s="516"/>
    </row>
    <row r="6" spans="1:19" ht="18.3" customHeight="1" x14ac:dyDescent="0.55000000000000004">
      <c r="G6" s="646" t="s">
        <v>833</v>
      </c>
      <c r="H6" s="646"/>
      <c r="I6" s="647"/>
      <c r="J6" s="647"/>
      <c r="K6" s="7"/>
      <c r="L6" s="900" t="s">
        <v>834</v>
      </c>
      <c r="M6" s="901"/>
      <c r="N6" s="7"/>
      <c r="O6" s="7"/>
      <c r="P6" s="648"/>
      <c r="Q6" s="648"/>
    </row>
    <row r="7" spans="1:19" ht="11.4" customHeight="1" x14ac:dyDescent="0.55000000000000004">
      <c r="G7" s="7"/>
      <c r="H7" s="7"/>
      <c r="I7" s="7"/>
      <c r="J7" s="7"/>
      <c r="K7" s="7"/>
      <c r="L7" s="7"/>
      <c r="M7" s="7"/>
      <c r="N7" s="7"/>
      <c r="O7" s="7"/>
      <c r="P7" s="648"/>
      <c r="Q7" s="648"/>
    </row>
    <row r="8" spans="1:19" ht="16.2" customHeight="1" x14ac:dyDescent="0.55000000000000004">
      <c r="G8" s="649" t="s">
        <v>834</v>
      </c>
      <c r="H8" s="646"/>
      <c r="I8" s="650"/>
      <c r="J8" s="650"/>
      <c r="K8" s="7"/>
      <c r="L8" s="649" t="s">
        <v>835</v>
      </c>
      <c r="M8" s="651"/>
      <c r="N8" s="652"/>
      <c r="O8" s="652"/>
      <c r="P8" s="648"/>
      <c r="Q8" s="7"/>
    </row>
    <row r="9" spans="1:19" ht="10.199999999999999" customHeight="1" x14ac:dyDescent="0.55000000000000004">
      <c r="G9" s="902" t="s">
        <v>836</v>
      </c>
      <c r="H9" s="902"/>
      <c r="I9" s="902"/>
      <c r="J9" s="902"/>
      <c r="K9" s="7"/>
      <c r="L9" s="902" t="s">
        <v>837</v>
      </c>
      <c r="M9" s="902"/>
      <c r="N9" s="902"/>
      <c r="O9" s="902"/>
      <c r="P9" s="902"/>
      <c r="Q9" s="7"/>
    </row>
    <row r="10" spans="1:19" s="518" customFormat="1" ht="17.100000000000001" customHeight="1" x14ac:dyDescent="0.55000000000000004">
      <c r="G10" s="902"/>
      <c r="H10" s="902"/>
      <c r="I10" s="902"/>
      <c r="J10" s="902"/>
      <c r="K10" s="7"/>
      <c r="L10" s="902"/>
      <c r="M10" s="902"/>
      <c r="N10" s="902"/>
      <c r="O10" s="902"/>
      <c r="P10" s="902"/>
      <c r="Q10" s="7"/>
    </row>
    <row r="11" spans="1:19" ht="7.2" customHeight="1" x14ac:dyDescent="0.55000000000000004">
      <c r="G11" s="902"/>
      <c r="H11" s="902"/>
      <c r="I11" s="902"/>
      <c r="J11" s="902"/>
      <c r="K11" s="7"/>
      <c r="L11" s="902"/>
      <c r="M11" s="902"/>
      <c r="N11" s="902"/>
      <c r="O11" s="902"/>
      <c r="P11" s="902"/>
      <c r="Q11" s="7"/>
    </row>
    <row r="12" spans="1:19" s="518" customFormat="1" ht="15.6" customHeight="1" x14ac:dyDescent="0.5">
      <c r="B12" s="521"/>
      <c r="C12" s="521"/>
      <c r="D12" s="521"/>
    </row>
    <row r="13" spans="1:19" x14ac:dyDescent="0.55000000000000004">
      <c r="B13" s="643"/>
      <c r="C13" s="644"/>
      <c r="D13" s="644"/>
      <c r="E13" s="643"/>
      <c r="F13" s="643"/>
      <c r="G13" s="643"/>
      <c r="H13" s="643"/>
      <c r="I13" s="643"/>
      <c r="J13" s="643"/>
      <c r="K13" s="643"/>
      <c r="L13" s="643"/>
      <c r="M13" s="643"/>
      <c r="N13" s="643"/>
      <c r="O13" s="643"/>
      <c r="P13" s="643"/>
      <c r="Q13" s="643"/>
      <c r="R13" s="643"/>
    </row>
    <row r="14" spans="1:19" x14ac:dyDescent="0.55000000000000004">
      <c r="C14" s="521"/>
      <c r="D14" s="521"/>
    </row>
    <row r="15" spans="1:19" ht="28.2" x14ac:dyDescent="1.05">
      <c r="C15" s="521"/>
      <c r="D15" s="521"/>
      <c r="E15" s="7"/>
      <c r="F15" s="645" t="str" cm="1">
        <f t="array" ref="F15">_xlfn.IFS(L6="Complete route","Stappenplan complete route",TRUE,"Stappenplan korte route")</f>
        <v>Stappenplan korte route</v>
      </c>
      <c r="G15" s="7"/>
      <c r="H15" s="646"/>
      <c r="I15" s="647"/>
      <c r="J15" s="7"/>
      <c r="K15" s="7"/>
      <c r="L15" s="647"/>
      <c r="M15" s="7"/>
      <c r="N15" s="7"/>
      <c r="O15" s="7"/>
      <c r="P15" s="648"/>
      <c r="Q15" s="648"/>
      <c r="R15" s="648"/>
      <c r="S15" s="648"/>
    </row>
    <row r="16" spans="1:19" ht="18.3" x14ac:dyDescent="0.55000000000000004">
      <c r="C16" s="521"/>
      <c r="D16" s="521"/>
      <c r="E16" s="7"/>
      <c r="F16" s="7"/>
      <c r="G16" s="7"/>
      <c r="H16" s="646"/>
      <c r="I16" s="647"/>
      <c r="J16" s="7"/>
      <c r="K16" s="7"/>
      <c r="L16" s="647"/>
      <c r="M16" s="7"/>
      <c r="N16" s="7"/>
      <c r="O16" s="7"/>
      <c r="P16" s="648"/>
      <c r="Q16" s="648"/>
      <c r="R16" s="648"/>
      <c r="S16" s="648"/>
    </row>
    <row r="17" spans="3:19" ht="18.3" x14ac:dyDescent="0.55000000000000004">
      <c r="C17" s="521"/>
      <c r="D17" s="521"/>
      <c r="E17" s="7"/>
      <c r="F17" s="654" t="s">
        <v>552</v>
      </c>
      <c r="G17" s="655" t="s">
        <v>565</v>
      </c>
      <c r="H17" s="656"/>
      <c r="I17" s="657"/>
      <c r="J17" s="657"/>
      <c r="K17" s="656"/>
      <c r="L17" s="657"/>
      <c r="M17" s="7"/>
      <c r="N17" s="7"/>
      <c r="O17" s="7"/>
      <c r="P17" s="648"/>
      <c r="Q17" s="648"/>
      <c r="R17" s="648"/>
      <c r="S17" s="648"/>
    </row>
    <row r="18" spans="3:19" ht="9.3000000000000007" customHeight="1" x14ac:dyDescent="0.55000000000000004">
      <c r="C18" s="521"/>
      <c r="D18" s="521"/>
      <c r="E18" s="7"/>
      <c r="F18" s="654"/>
      <c r="G18" s="655"/>
      <c r="H18" s="656"/>
      <c r="I18" s="657"/>
      <c r="J18" s="657"/>
      <c r="K18" s="656"/>
      <c r="L18" s="657"/>
      <c r="M18" s="7"/>
      <c r="N18" s="7"/>
      <c r="O18" s="7"/>
      <c r="P18" s="648"/>
      <c r="Q18" s="648"/>
      <c r="R18" s="648"/>
      <c r="S18" s="648"/>
    </row>
    <row r="19" spans="3:19" ht="18.3" x14ac:dyDescent="0.55000000000000004">
      <c r="C19" s="521"/>
      <c r="D19" s="521"/>
      <c r="E19" s="7"/>
      <c r="F19" s="654" t="s">
        <v>553</v>
      </c>
      <c r="G19" s="655" t="s">
        <v>554</v>
      </c>
      <c r="H19" s="656"/>
      <c r="I19" s="658"/>
      <c r="J19" s="658"/>
      <c r="K19" s="658"/>
      <c r="L19" s="658"/>
      <c r="M19" s="659"/>
      <c r="N19" s="646"/>
      <c r="O19" s="7"/>
      <c r="P19" s="648"/>
      <c r="Q19" s="648"/>
      <c r="R19" s="648"/>
      <c r="S19" s="648"/>
    </row>
    <row r="20" spans="3:19" ht="11.7" customHeight="1" x14ac:dyDescent="0.55000000000000004">
      <c r="C20" s="521"/>
      <c r="D20" s="521"/>
      <c r="E20" s="7"/>
      <c r="F20" s="654"/>
      <c r="G20" s="655"/>
      <c r="H20" s="656"/>
      <c r="I20" s="658"/>
      <c r="J20" s="658"/>
      <c r="K20" s="658"/>
      <c r="L20" s="658"/>
      <c r="M20" s="659"/>
      <c r="N20" s="646"/>
      <c r="O20" s="650"/>
      <c r="P20" s="7"/>
      <c r="Q20" s="7"/>
      <c r="R20" s="7"/>
      <c r="S20" s="7"/>
    </row>
    <row r="21" spans="3:19" ht="18.3" x14ac:dyDescent="0.7">
      <c r="C21" s="521"/>
      <c r="D21" s="521"/>
      <c r="E21" s="660"/>
      <c r="F21" s="661" t="s">
        <v>555</v>
      </c>
      <c r="G21" s="662" t="s">
        <v>854</v>
      </c>
      <c r="H21" s="656"/>
      <c r="I21" s="660"/>
      <c r="J21" s="663"/>
      <c r="K21" s="664" t="s">
        <v>225</v>
      </c>
      <c r="L21" s="913" t="s">
        <v>777</v>
      </c>
      <c r="M21" s="914"/>
      <c r="N21" s="663"/>
      <c r="O21" s="665" t="s">
        <v>778</v>
      </c>
      <c r="P21" s="660"/>
      <c r="Q21" s="660"/>
      <c r="R21" s="660"/>
      <c r="S21" s="660"/>
    </row>
    <row r="22" spans="3:19" ht="9" customHeight="1" x14ac:dyDescent="0.55000000000000004">
      <c r="C22" s="521"/>
      <c r="D22" s="521"/>
      <c r="E22" s="7"/>
      <c r="F22" s="654"/>
      <c r="G22" s="655"/>
      <c r="H22" s="656"/>
      <c r="I22" s="658"/>
      <c r="J22" s="658"/>
      <c r="K22" s="658"/>
      <c r="L22" s="658"/>
      <c r="M22" s="659"/>
      <c r="N22" s="646"/>
      <c r="O22" s="650"/>
      <c r="P22" s="7"/>
      <c r="Q22" s="7"/>
      <c r="R22" s="7"/>
      <c r="S22" s="7"/>
    </row>
    <row r="23" spans="3:19" ht="24" customHeight="1" x14ac:dyDescent="0.55000000000000004">
      <c r="C23" s="521"/>
      <c r="D23" s="521"/>
      <c r="E23" s="666"/>
      <c r="F23" s="666"/>
      <c r="G23" s="666" t="str" cm="1">
        <f t="array" ref="G23">_xlfn.IFS(L6="Complete route","Gesprek met medewerker over verval functie en herplaatsingsgesprek",TRUE,"")</f>
        <v/>
      </c>
      <c r="H23" s="667"/>
      <c r="I23" s="666"/>
      <c r="J23" s="668"/>
      <c r="K23" s="666"/>
      <c r="L23" s="912" t="str" cm="1">
        <f t="array" ref="L23">_xlfn.IFS(L6="Complete route","  3. Brief boventalligheid",TRUE,"")</f>
        <v/>
      </c>
      <c r="M23" s="912"/>
      <c r="N23" s="666"/>
      <c r="O23" s="912" t="str" cm="1">
        <f t="array" ref="O23">_xlfn.IFS(L6="Complete route","  3. Brief afspraken herplaatsing",TRUE,"")</f>
        <v/>
      </c>
      <c r="P23" s="912"/>
      <c r="Q23" s="912"/>
      <c r="R23" s="660"/>
      <c r="S23" s="666"/>
    </row>
    <row r="24" spans="3:19" ht="4.2" customHeight="1" x14ac:dyDescent="0.55000000000000004">
      <c r="C24" s="521"/>
      <c r="D24" s="521"/>
      <c r="E24" s="7"/>
      <c r="F24" s="7"/>
      <c r="G24" s="7"/>
      <c r="H24" s="7"/>
      <c r="I24" s="7"/>
      <c r="J24" s="7"/>
      <c r="K24" s="7"/>
      <c r="L24" s="7"/>
      <c r="M24" s="7"/>
      <c r="N24" s="7"/>
      <c r="O24" s="7"/>
      <c r="P24" s="7"/>
      <c r="Q24" s="7"/>
      <c r="R24" s="7"/>
      <c r="S24" s="7"/>
    </row>
    <row r="25" spans="3:19" ht="18.3" x14ac:dyDescent="0.6">
      <c r="C25" s="521"/>
      <c r="D25" s="521"/>
      <c r="E25" s="7"/>
      <c r="F25" s="654" t="s">
        <v>556</v>
      </c>
      <c r="G25" s="655" t="str" cm="1">
        <f t="array" ref="G25">_xlfn.IFS(L6="Korte route","Opsturen formulier A naar het UWV",TRUE,"Opsturen formulier A naar het UWV (optie i.v.m. risico ziekmelden)")</f>
        <v>Opsturen formulier A naar het UWV</v>
      </c>
      <c r="H25" s="656"/>
      <c r="I25" s="660"/>
      <c r="J25" s="669"/>
      <c r="K25" s="670"/>
      <c r="L25" s="670"/>
      <c r="M25" s="7"/>
      <c r="N25" s="671"/>
      <c r="O25" s="660"/>
      <c r="P25" s="660"/>
      <c r="Q25" s="660"/>
      <c r="R25" s="660"/>
      <c r="S25" s="7"/>
    </row>
    <row r="26" spans="3:19" ht="10.8" customHeight="1" x14ac:dyDescent="0.6">
      <c r="C26" s="521"/>
      <c r="D26" s="521"/>
      <c r="E26" s="7"/>
      <c r="F26" s="654"/>
      <c r="G26" s="655"/>
      <c r="H26" s="656"/>
      <c r="I26" s="657"/>
      <c r="J26" s="657"/>
      <c r="K26" s="656"/>
      <c r="L26" s="657"/>
      <c r="M26" s="7"/>
      <c r="N26" s="672"/>
      <c r="O26" s="7"/>
      <c r="P26" s="7"/>
      <c r="Q26" s="7"/>
      <c r="R26" s="673"/>
      <c r="S26" s="7"/>
    </row>
    <row r="27" spans="3:19" ht="16.8" customHeight="1" x14ac:dyDescent="0.55000000000000004">
      <c r="C27" s="521"/>
      <c r="D27" s="521"/>
      <c r="E27" s="7"/>
      <c r="F27" s="654" t="s">
        <v>838</v>
      </c>
      <c r="G27" s="655" t="s">
        <v>856</v>
      </c>
      <c r="H27" s="655"/>
      <c r="I27" s="655"/>
      <c r="J27" s="655"/>
      <c r="K27" s="674"/>
      <c r="L27" s="674"/>
      <c r="M27" s="7"/>
      <c r="N27" s="675"/>
      <c r="O27" s="7"/>
      <c r="P27" s="647"/>
      <c r="Q27" s="647"/>
      <c r="R27" s="7"/>
      <c r="S27" s="7"/>
    </row>
    <row r="28" spans="3:19" ht="18.3" x14ac:dyDescent="0.6">
      <c r="C28" s="521"/>
      <c r="D28" s="521"/>
      <c r="E28" s="7"/>
      <c r="F28" s="654"/>
      <c r="G28" s="655"/>
      <c r="H28" s="656"/>
      <c r="I28" s="657"/>
      <c r="J28" s="657"/>
      <c r="K28" s="656"/>
      <c r="L28" s="657"/>
      <c r="M28" s="7"/>
      <c r="N28" s="672"/>
      <c r="O28" s="7"/>
      <c r="P28" s="7"/>
      <c r="Q28" s="7"/>
      <c r="R28" s="673"/>
      <c r="S28" s="7"/>
    </row>
    <row r="29" spans="3:19" x14ac:dyDescent="0.55000000000000004">
      <c r="C29" s="521"/>
      <c r="D29" s="521"/>
      <c r="E29" s="676"/>
      <c r="F29" s="677" t="s">
        <v>839</v>
      </c>
      <c r="G29" s="678"/>
      <c r="H29" s="678"/>
      <c r="I29" s="679" t="s">
        <v>421</v>
      </c>
      <c r="J29" s="680"/>
      <c r="K29" s="680"/>
      <c r="L29" s="805" t="str">
        <f>"Vertrekregeling "&amp;L21</f>
        <v>Vertrekregeling Verschuren</v>
      </c>
      <c r="M29" s="681"/>
      <c r="N29" s="647"/>
      <c r="O29" s="679" t="s">
        <v>551</v>
      </c>
      <c r="P29" s="647"/>
      <c r="Q29" s="647"/>
      <c r="R29" s="647"/>
      <c r="S29" s="660"/>
    </row>
    <row r="30" spans="3:19" x14ac:dyDescent="0.55000000000000004">
      <c r="C30" s="521"/>
      <c r="D30" s="521"/>
      <c r="E30" s="7"/>
      <c r="F30" s="682" t="s">
        <v>234</v>
      </c>
      <c r="G30" s="683" t="s">
        <v>886</v>
      </c>
      <c r="H30" s="684"/>
      <c r="I30" s="685"/>
      <c r="J30" s="686" t="s">
        <v>886</v>
      </c>
      <c r="K30" s="685"/>
      <c r="L30" s="687" t="s">
        <v>886</v>
      </c>
      <c r="M30" s="688"/>
      <c r="N30" s="647"/>
      <c r="O30" s="650" t="s">
        <v>225</v>
      </c>
      <c r="P30" s="7"/>
      <c r="Q30" s="647"/>
      <c r="R30" s="647"/>
      <c r="S30" s="7"/>
    </row>
    <row r="31" spans="3:19" x14ac:dyDescent="0.55000000000000004">
      <c r="C31" s="521"/>
      <c r="D31" s="521"/>
      <c r="E31" s="7"/>
      <c r="F31" s="682" t="s">
        <v>111</v>
      </c>
      <c r="G31" s="689">
        <v>44166</v>
      </c>
      <c r="H31" s="684"/>
      <c r="I31" s="685"/>
      <c r="J31" s="690">
        <v>44166</v>
      </c>
      <c r="K31" s="685"/>
      <c r="L31" s="691">
        <v>44166</v>
      </c>
      <c r="M31" s="688"/>
      <c r="N31" s="647"/>
      <c r="O31" s="962">
        <v>0.2</v>
      </c>
      <c r="P31" s="651" t="s">
        <v>245</v>
      </c>
      <c r="Q31" s="650"/>
      <c r="R31" s="647"/>
      <c r="S31" s="7"/>
    </row>
    <row r="32" spans="3:19" x14ac:dyDescent="0.55000000000000004">
      <c r="C32" s="521"/>
      <c r="D32" s="521"/>
      <c r="E32" s="7"/>
      <c r="F32" s="682" t="s">
        <v>9</v>
      </c>
      <c r="G32" s="683">
        <v>25643</v>
      </c>
      <c r="H32" s="692"/>
      <c r="I32" s="693"/>
      <c r="J32" s="686">
        <v>25643</v>
      </c>
      <c r="K32" s="693"/>
      <c r="L32" s="694">
        <v>25643</v>
      </c>
      <c r="M32" s="688"/>
      <c r="N32" s="647"/>
      <c r="O32" s="963">
        <v>0</v>
      </c>
      <c r="P32" s="651" t="s">
        <v>244</v>
      </c>
      <c r="Q32" s="650"/>
      <c r="R32" s="647"/>
      <c r="S32" s="7"/>
    </row>
    <row r="33" spans="3:19" x14ac:dyDescent="0.55000000000000004">
      <c r="C33" s="521"/>
      <c r="D33" s="521"/>
      <c r="E33" s="7"/>
      <c r="F33" s="682" t="s">
        <v>239</v>
      </c>
      <c r="G33" s="695" t="s">
        <v>238</v>
      </c>
      <c r="H33" s="684"/>
      <c r="I33" s="685"/>
      <c r="J33" s="696">
        <v>707.32307692307688</v>
      </c>
      <c r="K33" s="685"/>
      <c r="L33" s="697" t="s">
        <v>238</v>
      </c>
      <c r="M33" s="688"/>
      <c r="N33" s="647"/>
      <c r="O33" s="963">
        <v>0</v>
      </c>
      <c r="P33" s="651" t="s">
        <v>609</v>
      </c>
      <c r="Q33" s="650"/>
      <c r="R33" s="647"/>
      <c r="S33" s="7"/>
    </row>
    <row r="34" spans="3:19" x14ac:dyDescent="0.55000000000000004">
      <c r="C34" s="521"/>
      <c r="D34" s="521"/>
      <c r="E34" s="7"/>
      <c r="F34" s="682" t="s">
        <v>240</v>
      </c>
      <c r="G34" s="695"/>
      <c r="H34" s="684"/>
      <c r="I34" s="685"/>
      <c r="J34" s="696">
        <v>1610.0760777683852</v>
      </c>
      <c r="K34" s="685"/>
      <c r="L34" s="688"/>
      <c r="M34" s="688"/>
      <c r="N34" s="647"/>
      <c r="O34" s="698"/>
      <c r="P34" s="647"/>
      <c r="Q34" s="7"/>
      <c r="R34" s="647"/>
      <c r="S34" s="7"/>
    </row>
    <row r="35" spans="3:19" x14ac:dyDescent="0.55000000000000004">
      <c r="C35" s="521"/>
      <c r="D35" s="521"/>
      <c r="E35" s="7"/>
      <c r="F35" s="682" t="s">
        <v>237</v>
      </c>
      <c r="G35" s="695"/>
      <c r="H35" s="684"/>
      <c r="I35" s="685"/>
      <c r="J35" s="696">
        <v>0</v>
      </c>
      <c r="K35" s="685"/>
      <c r="L35" s="688"/>
      <c r="M35" s="688"/>
      <c r="N35" s="647"/>
      <c r="O35" s="647"/>
      <c r="P35" s="647"/>
      <c r="Q35" s="647"/>
      <c r="R35" s="647"/>
      <c r="S35" s="7"/>
    </row>
    <row r="36" spans="3:19" x14ac:dyDescent="0.55000000000000004">
      <c r="C36" s="521"/>
      <c r="D36" s="521"/>
      <c r="E36" s="7"/>
      <c r="F36" s="682" t="s">
        <v>408</v>
      </c>
      <c r="G36" s="695"/>
      <c r="H36" s="684"/>
      <c r="I36" s="685"/>
      <c r="J36" s="696"/>
      <c r="K36" s="685"/>
      <c r="L36" s="699">
        <v>0</v>
      </c>
      <c r="M36" s="688"/>
      <c r="N36" s="647"/>
      <c r="O36" s="647"/>
      <c r="P36" s="647"/>
      <c r="Q36" s="647"/>
      <c r="R36" s="647"/>
      <c r="S36" s="7"/>
    </row>
    <row r="37" spans="3:19" x14ac:dyDescent="0.55000000000000004">
      <c r="C37" s="521"/>
      <c r="D37" s="521"/>
      <c r="E37" s="7"/>
      <c r="F37" s="682"/>
      <c r="G37" s="695"/>
      <c r="H37" s="684"/>
      <c r="I37" s="685"/>
      <c r="J37" s="696"/>
      <c r="K37" s="685"/>
      <c r="L37" s="688"/>
      <c r="M37" s="688"/>
      <c r="N37" s="647"/>
      <c r="O37" s="647"/>
      <c r="P37" s="647"/>
      <c r="Q37" s="647"/>
      <c r="R37" s="647"/>
      <c r="S37" s="7"/>
    </row>
    <row r="38" spans="3:19" x14ac:dyDescent="0.55000000000000004">
      <c r="C38" s="521"/>
      <c r="D38" s="521"/>
      <c r="E38" s="7"/>
      <c r="F38" s="682" t="s">
        <v>420</v>
      </c>
      <c r="G38" s="700">
        <v>25643</v>
      </c>
      <c r="H38" s="684"/>
      <c r="I38" s="685"/>
      <c r="J38" s="701">
        <v>27960.483191500349</v>
      </c>
      <c r="K38" s="702"/>
      <c r="L38" s="703">
        <v>25643</v>
      </c>
      <c r="M38" s="688"/>
      <c r="N38" s="647"/>
      <c r="O38" s="647"/>
      <c r="P38" s="647"/>
      <c r="Q38" s="647"/>
      <c r="R38" s="647"/>
      <c r="S38" s="7"/>
    </row>
    <row r="39" spans="3:19" x14ac:dyDescent="0.55000000000000004">
      <c r="C39" s="521"/>
      <c r="D39" s="521"/>
      <c r="E39" s="704"/>
      <c r="F39" s="657"/>
      <c r="G39" s="657"/>
      <c r="H39" s="657"/>
      <c r="I39" s="704"/>
      <c r="J39" s="705"/>
      <c r="K39" s="704"/>
      <c r="L39" s="688"/>
      <c r="M39" s="688"/>
      <c r="N39" s="647"/>
      <c r="O39" s="647"/>
      <c r="P39" s="647"/>
      <c r="Q39" s="647"/>
      <c r="R39" s="647"/>
      <c r="S39" s="7"/>
    </row>
    <row r="40" spans="3:19" x14ac:dyDescent="0.55000000000000004">
      <c r="C40" s="521"/>
      <c r="D40" s="521"/>
      <c r="E40" s="7"/>
      <c r="F40" s="7"/>
      <c r="G40" s="7"/>
      <c r="H40" s="7"/>
      <c r="I40" s="7"/>
      <c r="J40" s="7"/>
      <c r="K40" s="7"/>
      <c r="L40" s="7"/>
      <c r="M40" s="7"/>
      <c r="N40" s="7"/>
      <c r="O40" s="7"/>
      <c r="P40" s="7"/>
      <c r="Q40" s="7"/>
      <c r="R40" s="7"/>
      <c r="S40" s="7"/>
    </row>
    <row r="41" spans="3:19" ht="20.399999999999999" customHeight="1" x14ac:dyDescent="0.7">
      <c r="C41" s="521"/>
      <c r="D41" s="521"/>
      <c r="E41" s="7"/>
      <c r="F41" s="730" t="s">
        <v>840</v>
      </c>
      <c r="G41" s="655" t="s">
        <v>435</v>
      </c>
      <c r="H41" s="655"/>
      <c r="I41" s="706" t="s">
        <v>76</v>
      </c>
      <c r="J41" s="650" t="s">
        <v>855</v>
      </c>
      <c r="K41" s="670"/>
      <c r="L41" s="670"/>
      <c r="M41" s="7"/>
      <c r="N41" s="675"/>
      <c r="O41" s="7"/>
      <c r="P41" s="647"/>
      <c r="Q41" s="647"/>
      <c r="R41" s="7"/>
      <c r="S41" s="7"/>
    </row>
    <row r="42" spans="3:19" ht="9" customHeight="1" x14ac:dyDescent="0.6">
      <c r="C42" s="521"/>
      <c r="D42" s="521"/>
      <c r="E42" s="7"/>
      <c r="F42" s="654"/>
      <c r="G42" s="655"/>
      <c r="H42" s="656"/>
      <c r="I42" s="707"/>
      <c r="J42" s="657"/>
      <c r="K42" s="656"/>
      <c r="L42" s="657"/>
      <c r="M42" s="7"/>
      <c r="N42" s="672"/>
      <c r="O42" s="7"/>
      <c r="P42" s="7"/>
      <c r="Q42" s="7"/>
      <c r="R42" s="673"/>
      <c r="S42" s="7"/>
    </row>
    <row r="43" spans="3:19" ht="18.3" x14ac:dyDescent="0.55000000000000004">
      <c r="C43" s="521"/>
      <c r="D43" s="521"/>
      <c r="E43" s="7"/>
      <c r="F43" s="654"/>
      <c r="G43" s="655"/>
      <c r="H43" s="655"/>
      <c r="I43" s="706" t="s">
        <v>95</v>
      </c>
      <c r="J43" s="650" t="str" cm="1">
        <f t="array" ref="J43">_xlfn.IFS(L6="Complete route","Ga verder met stap 7",TRUE,"Is de medewerker niet akkoord met de aangeboden vertrekregeling, dan vervolgt u de procedure bij het UWV.")</f>
        <v>Is de medewerker niet akkoord met de aangeboden vertrekregeling, dan vervolgt u de procedure bij het UWV.</v>
      </c>
      <c r="K43" s="708"/>
      <c r="L43" s="708"/>
      <c r="M43" s="708"/>
      <c r="N43" s="708"/>
      <c r="O43" s="708"/>
      <c r="P43" s="709"/>
      <c r="Q43" s="709"/>
      <c r="R43" s="709"/>
      <c r="S43" s="7"/>
    </row>
    <row r="44" spans="3:19" ht="12.3" customHeight="1" x14ac:dyDescent="0.55000000000000004">
      <c r="C44" s="521"/>
      <c r="D44" s="521"/>
      <c r="E44" s="7"/>
      <c r="F44" s="654"/>
      <c r="G44" s="655"/>
      <c r="H44" s="656"/>
      <c r="I44" s="657"/>
      <c r="J44" s="650" t="str" cm="1">
        <f t="array" ref="J44">_xlfn.IFS(L6="Complete route","",TRUE,"Kies voor de 'complete route' en maak de invoer bij stap 1 en 2 compleet om vervolgens formulier B en C in te dienen bij het UWV.")</f>
        <v>Kies voor de 'complete route' en maak de invoer bij stap 1 en 2 compleet om vervolgens formulier B en C in te dienen bij het UWV.</v>
      </c>
      <c r="K44" s="708"/>
      <c r="L44" s="708"/>
      <c r="M44" s="708"/>
      <c r="N44" s="708"/>
      <c r="O44" s="708"/>
      <c r="P44" s="709"/>
      <c r="Q44" s="710"/>
      <c r="R44" s="709"/>
      <c r="S44" s="7"/>
    </row>
    <row r="45" spans="3:19" ht="23.1" customHeight="1" x14ac:dyDescent="0.7">
      <c r="C45" s="521"/>
      <c r="D45" s="521"/>
      <c r="E45" s="7"/>
      <c r="F45" s="711" t="str" cm="1">
        <f t="array" ref="F45">_xlfn.IFS(L6="Complete route","Stap 7",TRUE,"")</f>
        <v/>
      </c>
      <c r="G45" s="655" t="str" cm="1">
        <f t="array" ref="G45">_xlfn.IFS(L6="Complete route","Opsturen formulieren (A), B en C naar het UWV met alle bijlagen",TRUE,"")</f>
        <v/>
      </c>
      <c r="H45" s="7"/>
      <c r="I45" s="7"/>
      <c r="J45" s="7"/>
      <c r="K45" s="7"/>
      <c r="L45" s="912" t="str" cm="1">
        <f t="array" ref="L45">_xlfn.IFS(L6="Complete route","  7. Formulieren (A), B en C - UWV",TRUE,"")</f>
        <v/>
      </c>
      <c r="M45" s="912"/>
      <c r="N45" s="7"/>
      <c r="O45" s="912" t="str" cm="1">
        <f t="array" ref="O45">_xlfn.IFS(L6="Complete route","  7. Overzicht bijlagen bij de formulieren",TRUE,"")</f>
        <v/>
      </c>
      <c r="P45" s="912"/>
      <c r="Q45" s="912"/>
      <c r="R45" s="912"/>
      <c r="S45" s="7"/>
    </row>
    <row r="46" spans="3:19" x14ac:dyDescent="0.55000000000000004">
      <c r="C46" s="521"/>
      <c r="D46" s="521"/>
      <c r="E46" s="7"/>
      <c r="F46" s="7"/>
      <c r="G46" s="7"/>
      <c r="H46" s="7"/>
      <c r="I46" s="7"/>
      <c r="J46" s="7"/>
      <c r="K46" s="7"/>
      <c r="L46" s="7"/>
      <c r="M46" s="7"/>
      <c r="N46" s="7"/>
      <c r="O46" s="7"/>
      <c r="P46" s="7"/>
      <c r="Q46" s="7"/>
      <c r="R46" s="7"/>
      <c r="S46" s="7"/>
    </row>
    <row r="47" spans="3:19" x14ac:dyDescent="0.55000000000000004">
      <c r="C47" s="521"/>
      <c r="D47" s="521"/>
      <c r="E47" s="7"/>
      <c r="F47" s="7"/>
      <c r="G47" s="7"/>
      <c r="H47" s="7"/>
      <c r="I47" s="7"/>
      <c r="J47" s="7"/>
      <c r="K47" s="7"/>
      <c r="L47" s="7"/>
      <c r="M47" s="7"/>
      <c r="N47" s="7"/>
      <c r="O47" s="7"/>
      <c r="P47" s="7"/>
      <c r="Q47" s="7"/>
      <c r="R47" s="7"/>
      <c r="S47" s="7"/>
    </row>
    <row r="48" spans="3:19" ht="23.4" customHeight="1" x14ac:dyDescent="0.7">
      <c r="C48" s="521"/>
      <c r="D48" s="521"/>
      <c r="E48" s="7"/>
      <c r="F48" s="711" t="str" cm="1">
        <f t="array" ref="F48">_xlfn.IFS(L6="Complete route","Stap 8",TRUE,"")</f>
        <v/>
      </c>
      <c r="G48" s="655" t="str" cm="1">
        <f t="array" ref="G48">_xlfn.IFS(L6="Complete route","Na toestemming van het UWV opsturen van de ontslagbrief",TRUE,"")</f>
        <v/>
      </c>
      <c r="H48" s="7"/>
      <c r="I48" s="7"/>
      <c r="J48" s="7"/>
      <c r="K48" s="7"/>
      <c r="L48" s="845" t="str" cm="1">
        <f t="array" ref="L48">_xlfn.IFS(L6="Complete route","  8. Ontlagbrief",TRUE,"")</f>
        <v/>
      </c>
      <c r="M48" s="7"/>
      <c r="N48" s="7"/>
      <c r="O48" s="7"/>
      <c r="P48" s="7"/>
      <c r="Q48" s="7"/>
      <c r="R48" s="7"/>
      <c r="S48" s="7"/>
    </row>
    <row r="49" spans="3:19" x14ac:dyDescent="0.55000000000000004">
      <c r="C49" s="521"/>
      <c r="D49" s="521"/>
      <c r="E49" s="7"/>
      <c r="F49" s="7"/>
      <c r="G49" s="7"/>
      <c r="H49" s="7"/>
      <c r="I49" s="7"/>
      <c r="J49" s="7"/>
      <c r="K49" s="7"/>
      <c r="L49" s="7"/>
      <c r="M49" s="7"/>
      <c r="N49" s="7"/>
      <c r="O49" s="7"/>
      <c r="P49" s="7"/>
      <c r="Q49" s="7"/>
      <c r="R49" s="7"/>
      <c r="S49" s="7"/>
    </row>
    <row r="50" spans="3:19" x14ac:dyDescent="0.55000000000000004">
      <c r="C50" s="521"/>
      <c r="D50" s="521"/>
    </row>
    <row r="51" spans="3:19" x14ac:dyDescent="0.55000000000000004">
      <c r="C51" s="524"/>
    </row>
    <row r="52" spans="3:19" x14ac:dyDescent="0.55000000000000004">
      <c r="C52" s="524"/>
      <c r="F52" s="903" t="s">
        <v>818</v>
      </c>
      <c r="G52" s="904"/>
      <c r="H52" s="904"/>
      <c r="I52" s="904"/>
      <c r="J52" s="904"/>
      <c r="K52" s="904"/>
      <c r="L52" s="904"/>
      <c r="M52" s="904"/>
      <c r="N52" s="904"/>
      <c r="O52" s="905"/>
    </row>
    <row r="53" spans="3:19" x14ac:dyDescent="0.55000000000000004">
      <c r="C53" s="524"/>
      <c r="E53" s="521"/>
      <c r="F53" s="906"/>
      <c r="G53" s="907"/>
      <c r="H53" s="907"/>
      <c r="I53" s="907"/>
      <c r="J53" s="907"/>
      <c r="K53" s="907"/>
      <c r="L53" s="907"/>
      <c r="M53" s="907"/>
      <c r="N53" s="907"/>
      <c r="O53" s="908"/>
      <c r="P53" s="519"/>
      <c r="Q53" s="519"/>
      <c r="R53" s="519"/>
    </row>
    <row r="54" spans="3:19" x14ac:dyDescent="0.55000000000000004">
      <c r="C54" s="524"/>
      <c r="E54" s="519"/>
      <c r="F54" s="906"/>
      <c r="G54" s="907"/>
      <c r="H54" s="907"/>
      <c r="I54" s="907"/>
      <c r="J54" s="907"/>
      <c r="K54" s="907"/>
      <c r="L54" s="907"/>
      <c r="M54" s="907"/>
      <c r="N54" s="907"/>
      <c r="O54" s="908"/>
      <c r="P54" s="519"/>
      <c r="Q54" s="519"/>
      <c r="R54" s="519"/>
    </row>
    <row r="55" spans="3:19" x14ac:dyDescent="0.55000000000000004">
      <c r="C55" s="524"/>
      <c r="E55" s="519"/>
      <c r="F55" s="906"/>
      <c r="G55" s="907"/>
      <c r="H55" s="907"/>
      <c r="I55" s="907"/>
      <c r="J55" s="907"/>
      <c r="K55" s="907"/>
      <c r="L55" s="907"/>
      <c r="M55" s="907"/>
      <c r="N55" s="907"/>
      <c r="O55" s="908"/>
      <c r="P55" s="519"/>
      <c r="Q55" s="519"/>
      <c r="R55" s="519"/>
    </row>
    <row r="56" spans="3:19" x14ac:dyDescent="0.55000000000000004">
      <c r="C56" s="524"/>
      <c r="F56" s="909"/>
      <c r="G56" s="910"/>
      <c r="H56" s="910"/>
      <c r="I56" s="910"/>
      <c r="J56" s="910"/>
      <c r="K56" s="910"/>
      <c r="L56" s="910"/>
      <c r="M56" s="910"/>
      <c r="N56" s="910"/>
      <c r="O56" s="911"/>
    </row>
    <row r="57" spans="3:19" x14ac:dyDescent="0.55000000000000004">
      <c r="C57" s="524"/>
    </row>
    <row r="58" spans="3:19" x14ac:dyDescent="0.55000000000000004">
      <c r="C58" s="524"/>
    </row>
    <row r="59" spans="3:19" x14ac:dyDescent="0.55000000000000004">
      <c r="C59" s="524"/>
    </row>
    <row r="60" spans="3:19" x14ac:dyDescent="0.55000000000000004">
      <c r="C60" s="524"/>
    </row>
    <row r="61" spans="3:19" x14ac:dyDescent="0.55000000000000004">
      <c r="C61" s="524"/>
    </row>
    <row r="62" spans="3:19" x14ac:dyDescent="0.55000000000000004">
      <c r="C62" s="524"/>
    </row>
    <row r="63" spans="3:19" x14ac:dyDescent="0.55000000000000004">
      <c r="C63" s="524"/>
    </row>
    <row r="64" spans="3:19" x14ac:dyDescent="0.55000000000000004">
      <c r="C64" s="524"/>
    </row>
    <row r="65" spans="3:3" x14ac:dyDescent="0.55000000000000004">
      <c r="C65" s="524"/>
    </row>
    <row r="66" spans="3:3" x14ac:dyDescent="0.55000000000000004">
      <c r="C66" s="524"/>
    </row>
    <row r="67" spans="3:3" x14ac:dyDescent="0.55000000000000004">
      <c r="C67" s="524"/>
    </row>
    <row r="68" spans="3:3" x14ac:dyDescent="0.55000000000000004">
      <c r="C68" s="524"/>
    </row>
    <row r="69" spans="3:3" x14ac:dyDescent="0.55000000000000004">
      <c r="C69" s="524"/>
    </row>
    <row r="70" spans="3:3" x14ac:dyDescent="0.55000000000000004">
      <c r="C70" s="524"/>
    </row>
    <row r="71" spans="3:3" x14ac:dyDescent="0.55000000000000004">
      <c r="C71" s="524"/>
    </row>
    <row r="72" spans="3:3" x14ac:dyDescent="0.55000000000000004">
      <c r="C72" s="524"/>
    </row>
    <row r="73" spans="3:3" x14ac:dyDescent="0.55000000000000004">
      <c r="C73" s="524"/>
    </row>
    <row r="74" spans="3:3" x14ac:dyDescent="0.55000000000000004">
      <c r="C74" s="524"/>
    </row>
    <row r="75" spans="3:3" x14ac:dyDescent="0.55000000000000004">
      <c r="C75" s="524"/>
    </row>
    <row r="76" spans="3:3" x14ac:dyDescent="0.55000000000000004">
      <c r="C76" s="524"/>
    </row>
    <row r="77" spans="3:3" x14ac:dyDescent="0.55000000000000004">
      <c r="C77" s="524"/>
    </row>
    <row r="78" spans="3:3" x14ac:dyDescent="0.55000000000000004">
      <c r="C78" s="524"/>
    </row>
    <row r="79" spans="3:3" x14ac:dyDescent="0.55000000000000004">
      <c r="C79" s="524"/>
    </row>
    <row r="80" spans="3:3" x14ac:dyDescent="0.55000000000000004">
      <c r="C80" s="524"/>
    </row>
    <row r="81" spans="3:3" x14ac:dyDescent="0.55000000000000004">
      <c r="C81" s="524"/>
    </row>
    <row r="82" spans="3:3" x14ac:dyDescent="0.55000000000000004">
      <c r="C82" s="524"/>
    </row>
    <row r="83" spans="3:3" x14ac:dyDescent="0.55000000000000004">
      <c r="C83" s="524"/>
    </row>
    <row r="84" spans="3:3" x14ac:dyDescent="0.55000000000000004">
      <c r="C84" s="524"/>
    </row>
    <row r="85" spans="3:3" x14ac:dyDescent="0.55000000000000004">
      <c r="C85" s="524"/>
    </row>
    <row r="86" spans="3:3" x14ac:dyDescent="0.55000000000000004">
      <c r="C86" s="524"/>
    </row>
    <row r="87" spans="3:3" x14ac:dyDescent="0.55000000000000004">
      <c r="C87" s="524"/>
    </row>
    <row r="88" spans="3:3" x14ac:dyDescent="0.55000000000000004">
      <c r="C88" s="524"/>
    </row>
    <row r="89" spans="3:3" x14ac:dyDescent="0.55000000000000004">
      <c r="C89" s="524"/>
    </row>
    <row r="90" spans="3:3" x14ac:dyDescent="0.55000000000000004">
      <c r="C90" s="524"/>
    </row>
    <row r="91" spans="3:3" x14ac:dyDescent="0.55000000000000004">
      <c r="C91" s="524"/>
    </row>
    <row r="92" spans="3:3" x14ac:dyDescent="0.55000000000000004">
      <c r="C92" s="524"/>
    </row>
    <row r="93" spans="3:3" x14ac:dyDescent="0.55000000000000004">
      <c r="C93" s="524"/>
    </row>
    <row r="94" spans="3:3" x14ac:dyDescent="0.55000000000000004">
      <c r="C94" s="524"/>
    </row>
  </sheetData>
  <sheetProtection algorithmName="SHA-512" hashValue="3c+3qBhZB9pZbxpN4U2yBjOV901YkHeAVhC+KuWFkc0shs7UpPtqBjUEv35QmdmhZh0azc8r2bZs5NUlLSnZQQ==" saltValue="DqKAf5y96CE0YGRU7mZf6Q==" spinCount="100000" sheet="1" objects="1" scenarios="1"/>
  <mergeCells count="9">
    <mergeCell ref="L6:M6"/>
    <mergeCell ref="G9:J11"/>
    <mergeCell ref="L9:P11"/>
    <mergeCell ref="F52:O56"/>
    <mergeCell ref="L23:M23"/>
    <mergeCell ref="O23:Q23"/>
    <mergeCell ref="L45:M45"/>
    <mergeCell ref="O45:R45"/>
    <mergeCell ref="L21:M21"/>
  </mergeCells>
  <conditionalFormatting sqref="L6:M6">
    <cfRule type="expression" dxfId="50" priority="7">
      <formula>L6="Korte route"</formula>
    </cfRule>
  </conditionalFormatting>
  <conditionalFormatting sqref="O31">
    <cfRule type="expression" dxfId="49" priority="2">
      <formula>L6="Korte route"</formula>
    </cfRule>
  </conditionalFormatting>
  <conditionalFormatting sqref="O32">
    <cfRule type="expression" dxfId="48" priority="3">
      <formula>L6="Korte route"</formula>
    </cfRule>
  </conditionalFormatting>
  <conditionalFormatting sqref="L21">
    <cfRule type="expression" dxfId="47" priority="4">
      <formula>L6="Korte route"</formula>
    </cfRule>
  </conditionalFormatting>
  <conditionalFormatting sqref="O33">
    <cfRule type="expression" dxfId="46" priority="5">
      <formula>L6="Korte route"</formula>
    </cfRule>
  </conditionalFormatting>
  <conditionalFormatting sqref="L48 L45 L23 N23:O23">
    <cfRule type="expression" dxfId="45" priority="6">
      <formula>$L$6="Korte route"</formula>
    </cfRule>
  </conditionalFormatting>
  <conditionalFormatting sqref="O45">
    <cfRule type="expression" dxfId="44" priority="1">
      <formula>$L$6="Korte route"</formula>
    </cfRule>
  </conditionalFormatting>
  <dataValidations count="1">
    <dataValidation type="list" allowBlank="1" showInputMessage="1" showErrorMessage="1" sqref="L6" xr:uid="{C24552C7-EE63-47DD-8E9F-1A8782D61DC9}">
      <formula1>"Korte route,Complete route"</formula1>
    </dataValidation>
  </dataValidations>
  <hyperlinks>
    <hyperlink ref="L45:M45" location="'4. Formulieren'!A1" display="'4. Formulieren'!A1" xr:uid="{22B71BF0-9BE8-4E9A-AD1E-29221585E121}"/>
    <hyperlink ref="L48" location="'8. WN'!A1" display="'8. WN'!A1" xr:uid="{4608FE9E-DECD-4415-9F1F-BF21DEBC73E2}"/>
    <hyperlink ref="L23" location="'5. WN'!A1" display="'5. WN'!A1" xr:uid="{B1B07ED8-BFFA-43ED-B2DE-838A7FACC639}"/>
    <hyperlink ref="L23:M23" location="'3. WN'!A1" display="'3. WN'!A1" xr:uid="{05DFAC92-6022-44A2-89BE-8571066EB6A4}"/>
    <hyperlink ref="O23:Q23" location="'3. WN-2'!A1" display="'3. WN-2'!A1" xr:uid="{A3FE00E6-9FF8-4C73-B06C-4DB2485977A5}"/>
  </hyperlinks>
  <pageMargins left="0.7" right="0.7" top="0.75" bottom="0.75" header="0.3" footer="0.3"/>
  <pageSetup paperSize="9" orientation="portrait" horizontalDpi="0" verticalDpi="0" r:id="rId1"/>
  <ignoredErrors>
    <ignoredError sqref="G30:Q30 G35:Q38 G34:N34 P34:Q34 G32:Q33 G31:N31 P31:Q3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CA2-1DF1-4132-A820-85D4F49AC338}">
  <sheetPr codeName="Blad8"/>
  <dimension ref="A1:HH32"/>
  <sheetViews>
    <sheetView workbookViewId="0"/>
  </sheetViews>
  <sheetFormatPr defaultRowHeight="14.4" x14ac:dyDescent="0.55000000000000004"/>
  <cols>
    <col min="1" max="1" width="8.83984375" style="526"/>
    <col min="2" max="16" width="8.83984375" style="511"/>
    <col min="17" max="17" width="11.68359375" style="511" customWidth="1"/>
    <col min="18" max="18" width="12.26171875" style="511" customWidth="1"/>
    <col min="19" max="19" width="12.3671875" style="511" customWidth="1"/>
    <col min="20" max="20" width="10.734375" style="511" customWidth="1"/>
    <col min="21" max="21" width="13.20703125" style="511" customWidth="1"/>
    <col min="22" max="22" width="14.83984375" style="511" customWidth="1"/>
    <col min="23" max="23" width="8.83984375" style="511"/>
    <col min="24" max="24" width="8.83984375" style="527"/>
    <col min="25" max="47" width="8.83984375" style="511"/>
    <col min="48" max="48" width="8.83984375" style="520"/>
    <col min="49" max="54" width="8.83984375" style="511"/>
    <col min="55" max="56" width="8.83984375" style="520"/>
    <col min="57" max="63" width="8.83984375" style="511"/>
    <col min="64" max="64" width="8.83984375" style="520"/>
    <col min="65" max="71" width="8.83984375" style="511"/>
    <col min="72" max="72" width="8.83984375" style="520"/>
    <col min="73" max="95" width="8.83984375" style="511"/>
    <col min="96" max="96" width="8.83984375" style="520"/>
    <col min="97" max="102" width="8.83984375" style="511"/>
    <col min="103" max="104" width="8.83984375" style="520"/>
    <col min="105" max="111" width="8.83984375" style="511"/>
    <col min="112" max="112" width="8.83984375" style="520"/>
    <col min="113" max="119" width="8.83984375" style="511"/>
    <col min="120" max="120" width="8.83984375" style="520"/>
    <col min="121" max="143" width="8.83984375" style="511"/>
    <col min="144" max="144" width="8.83984375" style="520"/>
    <col min="145" max="150" width="8.83984375" style="511"/>
    <col min="151" max="152" width="8.83984375" style="520"/>
    <col min="153" max="159" width="8.83984375" style="511"/>
    <col min="160" max="160" width="8.83984375" style="520"/>
    <col min="161" max="167" width="8.83984375" style="511"/>
    <col min="168" max="168" width="8.83984375" style="520"/>
    <col min="169" max="191" width="8.83984375" style="511"/>
    <col min="192" max="192" width="8.83984375" style="520"/>
    <col min="193" max="198" width="8.83984375" style="511"/>
    <col min="199" max="200" width="8.83984375" style="520"/>
    <col min="201" max="207" width="8.83984375" style="511"/>
    <col min="208" max="208" width="8.83984375" style="520"/>
    <col min="209" max="215" width="8.83984375" style="511"/>
    <col min="216" max="216" width="8.83984375" style="520"/>
    <col min="217" max="16384" width="8.83984375" style="511"/>
  </cols>
  <sheetData>
    <row r="1" spans="1:20" ht="7.2" customHeight="1" x14ac:dyDescent="0.55000000000000004">
      <c r="A1" s="547"/>
    </row>
    <row r="2" spans="1:20" ht="6" customHeight="1" x14ac:dyDescent="0.55000000000000004"/>
    <row r="3" spans="1:20" ht="30.6" x14ac:dyDescent="1.1000000000000001">
      <c r="R3" s="528"/>
    </row>
    <row r="4" spans="1:20" ht="25.5" customHeight="1" x14ac:dyDescent="0.55000000000000004"/>
    <row r="5" spans="1:20" ht="17.399999999999999" customHeight="1" x14ac:dyDescent="0.65">
      <c r="F5" s="517"/>
      <c r="N5" s="721" t="str" cm="1">
        <f t="array" ref="N5">_xlfn.IFS(Stappenplan!L6="Korte route","Complete route",TRUE,"")</f>
        <v>Complete route</v>
      </c>
      <c r="Q5" s="653"/>
      <c r="R5" s="712"/>
      <c r="S5" s="713" t="str" cm="1">
        <f t="array" ref="S5">_xlfn.IFS(Stappenplan!L6="Korte route","Korte route",TRUE,"")</f>
        <v>Korte route</v>
      </c>
      <c r="T5" s="653"/>
    </row>
    <row r="6" spans="1:20" ht="14.4" customHeight="1" x14ac:dyDescent="0.55000000000000004">
      <c r="F6" s="517"/>
      <c r="G6" s="529" t="s">
        <v>562</v>
      </c>
      <c r="H6" s="530"/>
      <c r="I6" s="518"/>
      <c r="J6" s="518"/>
      <c r="K6" s="530"/>
      <c r="L6" s="531"/>
      <c r="M6" s="530"/>
      <c r="N6" s="518"/>
      <c r="O6" s="532"/>
      <c r="P6" s="532"/>
      <c r="Q6" s="714" t="str" cm="1">
        <f t="array" ref="Q6">_xlfn.IFS(Stappenplan!L6="Korte route","Invoer",TRUE,"")</f>
        <v>Invoer</v>
      </c>
      <c r="R6" s="653"/>
      <c r="S6" s="653"/>
      <c r="T6" s="653"/>
    </row>
    <row r="7" spans="1:20" x14ac:dyDescent="0.55000000000000004">
      <c r="F7" s="517"/>
      <c r="G7" s="533" t="s">
        <v>524</v>
      </c>
      <c r="H7" s="533"/>
      <c r="I7" s="533"/>
      <c r="J7" s="533"/>
      <c r="K7" s="533"/>
      <c r="L7" s="534"/>
      <c r="M7" s="533"/>
      <c r="N7" s="533"/>
      <c r="O7" s="535" t="s">
        <v>773</v>
      </c>
      <c r="Q7" s="715" t="str" cm="1">
        <f t="array" ref="Q7">_xlfn.IFS(Stappenplan!L6="Korte route","Gegevens organisatie",TRUE,"")</f>
        <v>Gegevens organisatie</v>
      </c>
      <c r="R7" s="716"/>
      <c r="S7" s="796" t="s">
        <v>841</v>
      </c>
      <c r="T7" s="717"/>
    </row>
    <row r="8" spans="1:20" x14ac:dyDescent="0.55000000000000004">
      <c r="F8" s="517"/>
      <c r="G8" s="511" t="s">
        <v>525</v>
      </c>
      <c r="L8" s="531"/>
      <c r="O8" s="535" t="s">
        <v>773</v>
      </c>
      <c r="Q8" s="715" t="str" cm="1">
        <f t="array" ref="Q8">_xlfn.IFS(Stappenplan!L6="Korte route","Indeling in functies",TRUE,"")</f>
        <v>Indeling in functies</v>
      </c>
      <c r="R8" s="716"/>
      <c r="S8" s="796" t="s">
        <v>841</v>
      </c>
      <c r="T8" s="718"/>
    </row>
    <row r="9" spans="1:20" x14ac:dyDescent="0.55000000000000004">
      <c r="F9" s="517"/>
      <c r="G9" s="533" t="s">
        <v>523</v>
      </c>
      <c r="H9" s="533"/>
      <c r="I9" s="533"/>
      <c r="J9" s="533"/>
      <c r="K9" s="533"/>
      <c r="L9" s="534"/>
      <c r="M9" s="533"/>
      <c r="N9" s="533"/>
      <c r="O9" s="535" t="s">
        <v>773</v>
      </c>
      <c r="Q9" s="715" t="str" cm="1">
        <f t="array" ref="Q9">_xlfn.IFS(Stappenplan!L6="Korte route","Gegevens personeel",TRUE,"")</f>
        <v>Gegevens personeel</v>
      </c>
      <c r="R9" s="716"/>
      <c r="S9" s="796" t="s">
        <v>841</v>
      </c>
      <c r="T9" s="719"/>
    </row>
    <row r="10" spans="1:20" x14ac:dyDescent="0.55000000000000004">
      <c r="F10" s="517"/>
      <c r="L10" s="531"/>
      <c r="O10" s="535"/>
      <c r="Q10" s="653"/>
      <c r="R10" s="653"/>
      <c r="S10" s="653"/>
      <c r="T10" s="653"/>
    </row>
    <row r="11" spans="1:20" ht="15" customHeight="1" x14ac:dyDescent="0.55000000000000004">
      <c r="F11" s="517"/>
      <c r="G11" s="529" t="s">
        <v>563</v>
      </c>
      <c r="H11" s="530"/>
      <c r="I11" s="518"/>
      <c r="J11" s="518"/>
      <c r="K11" s="530"/>
      <c r="L11" s="536"/>
      <c r="M11" s="530"/>
      <c r="N11" s="518"/>
      <c r="O11" s="535"/>
      <c r="Q11" s="720" t="str" cm="1">
        <f t="array" ref="Q11">_xlfn.IFS(Stappenplan!L6="Korte route","U vult alleen de gele velden in!",TRUE,"")</f>
        <v>U vult alleen de gele velden in!</v>
      </c>
      <c r="R11" s="653"/>
      <c r="S11" s="653"/>
      <c r="T11" s="653"/>
    </row>
    <row r="12" spans="1:20" ht="13.2" customHeight="1" x14ac:dyDescent="0.55000000000000004">
      <c r="F12" s="517"/>
      <c r="H12" s="537" t="s">
        <v>550</v>
      </c>
      <c r="M12" s="519"/>
      <c r="O12" s="535" t="s">
        <v>773</v>
      </c>
      <c r="Q12" s="722"/>
      <c r="R12" s="722"/>
      <c r="S12" s="722"/>
      <c r="T12" s="722"/>
    </row>
    <row r="13" spans="1:20" ht="14.4" customHeight="1" x14ac:dyDescent="0.55000000000000004">
      <c r="A13" s="511"/>
      <c r="E13" s="526"/>
      <c r="F13" s="517"/>
      <c r="G13" s="538" t="s">
        <v>76</v>
      </c>
      <c r="H13" s="539" t="s">
        <v>508</v>
      </c>
      <c r="I13" s="533"/>
      <c r="J13" s="533"/>
      <c r="K13" s="533"/>
      <c r="L13" s="533"/>
      <c r="M13" s="523"/>
      <c r="N13" s="533"/>
      <c r="O13" s="535" t="s">
        <v>773</v>
      </c>
      <c r="Q13" s="709"/>
      <c r="R13" s="709"/>
      <c r="S13" s="709"/>
      <c r="T13" s="7"/>
    </row>
    <row r="14" spans="1:20" x14ac:dyDescent="0.55000000000000004">
      <c r="A14" s="511"/>
      <c r="E14" s="526"/>
      <c r="F14" s="517"/>
      <c r="G14" s="538" t="s">
        <v>76</v>
      </c>
      <c r="H14" s="537" t="s">
        <v>509</v>
      </c>
      <c r="M14" s="519"/>
      <c r="O14" s="535" t="s">
        <v>774</v>
      </c>
    </row>
    <row r="15" spans="1:20" x14ac:dyDescent="0.55000000000000004">
      <c r="A15" s="511"/>
      <c r="E15" s="526"/>
      <c r="F15" s="517"/>
      <c r="G15" s="538" t="s">
        <v>76</v>
      </c>
      <c r="H15" s="539" t="s">
        <v>510</v>
      </c>
      <c r="I15" s="533"/>
      <c r="J15" s="533"/>
      <c r="K15" s="533"/>
      <c r="L15" s="533"/>
      <c r="M15" s="523"/>
      <c r="N15" s="533"/>
      <c r="O15" s="535" t="s">
        <v>774</v>
      </c>
      <c r="Q15" s="915" t="s">
        <v>772</v>
      </c>
      <c r="R15" s="916"/>
      <c r="S15" s="917"/>
    </row>
    <row r="16" spans="1:20" x14ac:dyDescent="0.55000000000000004">
      <c r="A16" s="511"/>
      <c r="E16" s="526"/>
      <c r="F16" s="517"/>
      <c r="G16" s="538" t="s">
        <v>95</v>
      </c>
      <c r="H16" s="537" t="s">
        <v>511</v>
      </c>
      <c r="M16" s="519"/>
      <c r="O16" s="535" t="s">
        <v>320</v>
      </c>
      <c r="Q16" s="918"/>
      <c r="R16" s="919"/>
      <c r="S16" s="920"/>
    </row>
    <row r="17" spans="1:19" ht="14.4" customHeight="1" x14ac:dyDescent="0.55000000000000004">
      <c r="A17" s="511"/>
      <c r="E17" s="526"/>
      <c r="F17" s="517"/>
      <c r="G17" s="538" t="s">
        <v>95</v>
      </c>
      <c r="H17" s="539" t="s">
        <v>512</v>
      </c>
      <c r="I17" s="533"/>
      <c r="J17" s="533"/>
      <c r="K17" s="533"/>
      <c r="L17" s="533"/>
      <c r="M17" s="523"/>
      <c r="N17" s="533"/>
      <c r="O17" s="535" t="s">
        <v>320</v>
      </c>
      <c r="Q17" s="918"/>
      <c r="R17" s="919"/>
      <c r="S17" s="920"/>
    </row>
    <row r="18" spans="1:19" x14ac:dyDescent="0.55000000000000004">
      <c r="A18" s="511"/>
      <c r="E18" s="526"/>
      <c r="F18" s="517"/>
      <c r="G18" s="538" t="s">
        <v>95</v>
      </c>
      <c r="H18" s="537" t="s">
        <v>513</v>
      </c>
      <c r="M18" s="519"/>
      <c r="O18" s="535" t="s">
        <v>320</v>
      </c>
      <c r="Q18" s="723"/>
      <c r="R18" s="724"/>
      <c r="S18" s="725"/>
    </row>
    <row r="19" spans="1:19" ht="14.4" customHeight="1" x14ac:dyDescent="0.55000000000000004">
      <c r="A19" s="511"/>
      <c r="E19" s="526"/>
      <c r="F19" s="517"/>
      <c r="G19" s="538" t="s">
        <v>95</v>
      </c>
      <c r="H19" s="539" t="s">
        <v>514</v>
      </c>
      <c r="I19" s="533"/>
      <c r="J19" s="533"/>
      <c r="K19" s="533"/>
      <c r="L19" s="533"/>
      <c r="M19" s="523"/>
      <c r="N19" s="533"/>
      <c r="O19" s="535" t="s">
        <v>320</v>
      </c>
      <c r="Q19" s="921" t="s">
        <v>842</v>
      </c>
      <c r="R19" s="922"/>
      <c r="S19" s="923"/>
    </row>
    <row r="20" spans="1:19" ht="14.1" customHeight="1" x14ac:dyDescent="0.55000000000000004">
      <c r="A20" s="511"/>
      <c r="E20" s="526"/>
      <c r="F20" s="517"/>
      <c r="G20" s="519"/>
      <c r="H20" s="519"/>
      <c r="I20" s="519"/>
      <c r="J20" s="519"/>
      <c r="K20" s="519"/>
      <c r="L20" s="519"/>
      <c r="M20" s="540"/>
      <c r="N20" s="541"/>
      <c r="O20" s="542"/>
      <c r="Q20" s="921"/>
      <c r="R20" s="922"/>
      <c r="S20" s="923"/>
    </row>
    <row r="21" spans="1:19" ht="14.1" customHeight="1" x14ac:dyDescent="0.55000000000000004">
      <c r="A21" s="511"/>
      <c r="E21" s="526"/>
      <c r="F21" s="517"/>
      <c r="G21" s="529" t="s">
        <v>564</v>
      </c>
      <c r="H21" s="530"/>
      <c r="I21" s="518"/>
      <c r="J21" s="518"/>
      <c r="K21" s="518"/>
      <c r="L21" s="531"/>
      <c r="M21" s="518"/>
      <c r="N21" s="518"/>
      <c r="O21" s="535"/>
      <c r="Q21" s="921"/>
      <c r="R21" s="922"/>
      <c r="S21" s="923"/>
    </row>
    <row r="22" spans="1:19" x14ac:dyDescent="0.55000000000000004">
      <c r="B22" s="519"/>
      <c r="C22" s="519"/>
      <c r="D22" s="519"/>
      <c r="E22" s="519"/>
      <c r="F22" s="517"/>
      <c r="G22" s="533" t="s">
        <v>475</v>
      </c>
      <c r="H22" s="523"/>
      <c r="I22" s="533"/>
      <c r="J22" s="533"/>
      <c r="K22" s="533"/>
      <c r="L22" s="533"/>
      <c r="M22" s="543"/>
      <c r="N22" s="533"/>
      <c r="O22" s="535" t="s">
        <v>773</v>
      </c>
      <c r="Q22" s="921"/>
      <c r="R22" s="922"/>
      <c r="S22" s="923"/>
    </row>
    <row r="23" spans="1:19" ht="14.4" customHeight="1" x14ac:dyDescent="0.55000000000000004">
      <c r="B23" s="519"/>
      <c r="C23" s="519"/>
      <c r="D23" s="519"/>
      <c r="E23" s="519"/>
      <c r="F23" s="517"/>
      <c r="G23" s="511" t="s">
        <v>519</v>
      </c>
      <c r="H23" s="519"/>
      <c r="M23" s="544"/>
      <c r="O23" s="535" t="s">
        <v>773</v>
      </c>
      <c r="Q23" s="921"/>
      <c r="R23" s="922"/>
      <c r="S23" s="923"/>
    </row>
    <row r="24" spans="1:19" x14ac:dyDescent="0.55000000000000004">
      <c r="B24" s="519"/>
      <c r="C24" s="519"/>
      <c r="D24" s="519"/>
      <c r="E24" s="519"/>
      <c r="F24" s="517"/>
      <c r="G24" s="533" t="s">
        <v>522</v>
      </c>
      <c r="H24" s="523"/>
      <c r="I24" s="533"/>
      <c r="J24" s="533"/>
      <c r="K24" s="533"/>
      <c r="L24" s="533"/>
      <c r="M24" s="543"/>
      <c r="N24" s="533"/>
      <c r="O24" s="535" t="s">
        <v>773</v>
      </c>
      <c r="Q24" s="921"/>
      <c r="R24" s="922"/>
      <c r="S24" s="923"/>
    </row>
    <row r="25" spans="1:19" x14ac:dyDescent="0.55000000000000004">
      <c r="B25" s="519"/>
      <c r="C25" s="519"/>
      <c r="D25" s="519"/>
      <c r="E25" s="519"/>
      <c r="F25" s="517"/>
      <c r="G25" s="511" t="s">
        <v>520</v>
      </c>
      <c r="H25" s="519"/>
      <c r="M25" s="544"/>
      <c r="O25" s="535" t="s">
        <v>320</v>
      </c>
      <c r="Q25" s="921"/>
      <c r="R25" s="922"/>
      <c r="S25" s="923"/>
    </row>
    <row r="26" spans="1:19" x14ac:dyDescent="0.55000000000000004">
      <c r="B26" s="519"/>
      <c r="C26" s="519"/>
      <c r="D26" s="519"/>
      <c r="F26" s="517"/>
      <c r="G26" s="533" t="s">
        <v>521</v>
      </c>
      <c r="H26" s="523"/>
      <c r="I26" s="533"/>
      <c r="J26" s="533"/>
      <c r="K26" s="533"/>
      <c r="L26" s="533"/>
      <c r="M26" s="543"/>
      <c r="N26" s="533"/>
      <c r="O26" s="535" t="s">
        <v>320</v>
      </c>
      <c r="Q26" s="727"/>
      <c r="R26" s="728"/>
      <c r="S26" s="729"/>
    </row>
    <row r="27" spans="1:19" x14ac:dyDescent="0.55000000000000004">
      <c r="B27" s="519"/>
      <c r="C27" s="519"/>
      <c r="D27" s="519"/>
      <c r="G27" s="511" t="s">
        <v>518</v>
      </c>
      <c r="H27" s="519"/>
      <c r="M27" s="544"/>
      <c r="O27" s="535" t="s">
        <v>320</v>
      </c>
      <c r="Q27" s="726"/>
      <c r="R27" s="726"/>
      <c r="S27" s="726"/>
    </row>
    <row r="28" spans="1:19" x14ac:dyDescent="0.55000000000000004">
      <c r="B28" s="519"/>
      <c r="C28" s="519"/>
      <c r="D28" s="519"/>
      <c r="E28" s="519"/>
      <c r="O28" s="545"/>
      <c r="Q28" s="520"/>
      <c r="R28" s="520"/>
      <c r="S28" s="541"/>
    </row>
    <row r="29" spans="1:19" x14ac:dyDescent="0.55000000000000004">
      <c r="B29" s="519"/>
      <c r="C29" s="519"/>
      <c r="D29" s="519"/>
      <c r="E29" s="519"/>
      <c r="G29" s="513" t="s">
        <v>566</v>
      </c>
      <c r="O29" s="535" t="s">
        <v>773</v>
      </c>
    </row>
    <row r="32" spans="1:19" ht="25.8" x14ac:dyDescent="0.95">
      <c r="G32" s="546" t="s">
        <v>775</v>
      </c>
    </row>
  </sheetData>
  <sheetProtection algorithmName="SHA-512" hashValue="B2TZw/zZC7ZigiVYM6fAw4njoCIiwGffEIE0BMA4FZLO/tTvg83e1UrgHbJ0caDPK0VdIlAKz7B2AJAnG1z2gQ==" saltValue="Ws9QyLnrp3LSFCNzg+ITiw==" spinCount="100000" sheet="1" objects="1" scenarios="1" selectLockedCells="1"/>
  <mergeCells count="2">
    <mergeCell ref="Q15:S17"/>
    <mergeCell ref="Q19:S25"/>
  </mergeCells>
  <conditionalFormatting sqref="O6 O10:O11 O13:O27">
    <cfRule type="containsText" dxfId="43" priority="30" operator="containsText" text="Afgerond">
      <formula>NOT(ISERROR(SEARCH("Afgerond",O6)))</formula>
    </cfRule>
  </conditionalFormatting>
  <conditionalFormatting sqref="O12:O19">
    <cfRule type="containsText" dxfId="42" priority="9" operator="containsText" text="Afgerond">
      <formula>NOT(ISERROR(SEARCH("Afgerond",O12)))</formula>
    </cfRule>
  </conditionalFormatting>
  <conditionalFormatting sqref="O8">
    <cfRule type="containsText" dxfId="41" priority="3" operator="containsText" text="Afgerond">
      <formula>NOT(ISERROR(SEARCH("Afgerond",O8)))</formula>
    </cfRule>
  </conditionalFormatting>
  <conditionalFormatting sqref="O29">
    <cfRule type="containsText" dxfId="40" priority="5" operator="containsText" text="Afgerond">
      <formula>NOT(ISERROR(SEARCH("Afgerond",O29)))</formula>
    </cfRule>
  </conditionalFormatting>
  <conditionalFormatting sqref="O7">
    <cfRule type="containsText" dxfId="39" priority="4" operator="containsText" text="Afgerond">
      <formula>NOT(ISERROR(SEARCH("Afgerond",O7)))</formula>
    </cfRule>
  </conditionalFormatting>
  <conditionalFormatting sqref="O9">
    <cfRule type="containsText" dxfId="38" priority="2" operator="containsText" text="Afgerond">
      <formula>NOT(ISERROR(SEARCH("Afgerond",O9)))</formula>
    </cfRule>
  </conditionalFormatting>
  <dataValidations count="1">
    <dataValidation type="list" allowBlank="1" showInputMessage="1" showErrorMessage="1" sqref="G13:G19" xr:uid="{CD8C7904-B409-402B-A6CD-F2D015C818EE}">
      <formula1>"Nee,Ja"</formula1>
    </dataValidation>
  </dataValidation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D1526461-67AA-4FAC-8430-4740FE225A1B}">
            <xm:f>Stappenplan!$L$6="Complete route"</xm:f>
            <x14:dxf>
              <font>
                <color theme="4" tint="0.79998168889431442"/>
              </font>
              <fill>
                <patternFill>
                  <bgColor theme="4" tint="0.79998168889431442"/>
                </patternFill>
              </fill>
            </x14:dxf>
          </x14:cfRule>
          <xm:sqref>Q5:T12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8B1F-E3D4-4FA1-9615-90EC4B6D255D}">
  <sheetPr codeName="Blad9">
    <pageSetUpPr fitToPage="1"/>
  </sheetPr>
  <dimension ref="A1:IU78"/>
  <sheetViews>
    <sheetView zoomScaleNormal="100" workbookViewId="0"/>
  </sheetViews>
  <sheetFormatPr defaultRowHeight="14.4" x14ac:dyDescent="0.55000000000000004"/>
  <cols>
    <col min="1" max="1" width="4.3671875" style="627" customWidth="1"/>
    <col min="2" max="2" width="10.15625" style="627" customWidth="1"/>
    <col min="3" max="3" width="0.68359375" style="627" customWidth="1"/>
    <col min="4" max="4" width="12.68359375" style="627" hidden="1" customWidth="1"/>
    <col min="5" max="5" width="12.7890625" style="627" customWidth="1"/>
    <col min="6" max="6" width="13.47265625" style="627" customWidth="1"/>
    <col min="7" max="7" width="13.62890625" style="627" customWidth="1"/>
    <col min="8" max="8" width="3.41796875" style="627" customWidth="1"/>
    <col min="9" max="9" width="5.83984375" style="627" customWidth="1"/>
    <col min="10" max="10" width="16.3125" style="627" customWidth="1"/>
    <col min="11" max="11" width="16.20703125" style="627" customWidth="1"/>
    <col min="12" max="12" width="14.62890625" style="627" customWidth="1"/>
    <col min="13" max="13" width="19.20703125" style="627" customWidth="1"/>
    <col min="14" max="14" width="15.3125" style="627" customWidth="1"/>
    <col min="15" max="15" width="4.47265625" style="627" customWidth="1"/>
    <col min="16" max="16" width="2.734375" style="627" customWidth="1"/>
    <col min="17" max="17" width="16.41796875" style="627" customWidth="1"/>
    <col min="18" max="18" width="16.578125" style="627" customWidth="1"/>
    <col min="19" max="19" width="14.9453125" style="627" customWidth="1"/>
    <col min="20" max="20" width="4.20703125" style="627" customWidth="1"/>
    <col min="21" max="21" width="2.62890625" style="627" customWidth="1"/>
    <col min="22" max="22" width="19.3125" style="628" customWidth="1"/>
    <col min="23" max="23" width="24.05078125" style="628" customWidth="1"/>
    <col min="24" max="24" width="1.734375" style="629" customWidth="1"/>
    <col min="25" max="25" width="7.83984375" style="633" customWidth="1"/>
    <col min="26" max="26" width="5.05078125" style="572" customWidth="1"/>
    <col min="27" max="27" width="8.47265625" style="572" customWidth="1"/>
    <col min="28" max="28" width="12" style="572" customWidth="1"/>
    <col min="29" max="29" width="13" style="572" customWidth="1"/>
    <col min="30" max="30" width="6.15625" style="572" customWidth="1"/>
    <col min="31" max="31" width="2.68359375" style="572" customWidth="1"/>
    <col min="32" max="32" width="2.578125" style="572" customWidth="1"/>
    <col min="33" max="33" width="2.62890625" style="572" customWidth="1"/>
    <col min="34" max="34" width="13.1015625" style="572" customWidth="1"/>
    <col min="35" max="35" width="2.15625" style="572" customWidth="1"/>
    <col min="36" max="36" width="10.83984375" style="572" customWidth="1"/>
    <col min="37" max="37" width="9.20703125" style="628" customWidth="1"/>
    <col min="38" max="38" width="12.89453125" style="572" customWidth="1"/>
    <col min="39" max="40" width="9.83984375" style="632" bestFit="1" customWidth="1"/>
    <col min="41" max="41" width="3.26171875" style="572" customWidth="1"/>
    <col min="42" max="42" width="6.3671875" style="572" customWidth="1"/>
    <col min="43" max="47" width="8.83984375" style="572"/>
    <col min="48" max="255" width="8.83984375" style="573"/>
    <col min="256" max="16384" width="8.83984375" style="572"/>
  </cols>
  <sheetData>
    <row r="1" spans="1:255" ht="9.6" customHeight="1" x14ac:dyDescent="0.55000000000000004">
      <c r="A1" s="309"/>
      <c r="B1" s="523"/>
      <c r="C1" s="523"/>
      <c r="D1" s="523"/>
      <c r="E1" s="523"/>
      <c r="F1" s="523"/>
      <c r="G1" s="523"/>
      <c r="H1" s="523"/>
      <c r="I1" s="523"/>
      <c r="J1" s="523"/>
      <c r="K1" s="523"/>
      <c r="L1" s="523"/>
      <c r="M1" s="523"/>
      <c r="N1" s="523"/>
      <c r="O1" s="523"/>
      <c r="P1" s="523"/>
      <c r="Q1" s="523"/>
      <c r="R1" s="523"/>
      <c r="S1" s="523"/>
      <c r="T1" s="523"/>
      <c r="U1" s="523"/>
      <c r="V1" s="568"/>
      <c r="W1" s="568"/>
      <c r="X1" s="569"/>
      <c r="Y1" s="570"/>
      <c r="Z1" s="338"/>
      <c r="AA1" s="338"/>
      <c r="AB1" s="338"/>
      <c r="AC1" s="338"/>
      <c r="AD1" s="338"/>
      <c r="AE1" s="338"/>
      <c r="AF1" s="338"/>
      <c r="AG1" s="338"/>
      <c r="AH1" s="338"/>
      <c r="AI1" s="338"/>
      <c r="AJ1" s="338"/>
      <c r="AK1" s="343"/>
      <c r="AL1" s="338"/>
      <c r="AM1" s="571"/>
      <c r="AN1" s="571"/>
      <c r="AO1" s="338"/>
      <c r="AP1" s="338"/>
      <c r="AQ1" s="338"/>
      <c r="AR1" s="338"/>
      <c r="AS1" s="335"/>
      <c r="AT1" s="335"/>
    </row>
    <row r="2" spans="1:255" s="575" customFormat="1" ht="4.2" customHeight="1" x14ac:dyDescent="0.55000000000000004">
      <c r="A2" s="523"/>
      <c r="B2" s="523"/>
      <c r="C2" s="523"/>
      <c r="D2" s="523"/>
      <c r="E2" s="523"/>
      <c r="F2" s="523"/>
      <c r="G2" s="523"/>
      <c r="H2" s="523"/>
      <c r="I2" s="523"/>
      <c r="J2" s="523"/>
      <c r="K2" s="523"/>
      <c r="L2" s="523"/>
      <c r="M2" s="523"/>
      <c r="N2" s="523"/>
      <c r="O2" s="523"/>
      <c r="P2" s="523"/>
      <c r="Q2" s="523"/>
      <c r="R2" s="523"/>
      <c r="S2" s="523"/>
      <c r="T2" s="523"/>
      <c r="U2" s="523"/>
      <c r="V2" s="569"/>
      <c r="W2" s="569"/>
      <c r="X2" s="569"/>
      <c r="Y2" s="574"/>
      <c r="Z2" s="344"/>
      <c r="AA2" s="344"/>
      <c r="AB2" s="344"/>
      <c r="AC2" s="344"/>
      <c r="AD2" s="344"/>
      <c r="AE2" s="344"/>
      <c r="AF2" s="344"/>
      <c r="AG2" s="344"/>
      <c r="AH2" s="344"/>
      <c r="AI2" s="344"/>
      <c r="AJ2" s="344"/>
      <c r="AK2" s="348"/>
      <c r="AL2" s="344"/>
      <c r="AM2" s="571"/>
      <c r="AN2" s="571"/>
      <c r="AO2" s="344"/>
      <c r="AP2" s="344"/>
      <c r="AQ2" s="344"/>
      <c r="AR2" s="344"/>
      <c r="AS2" s="344"/>
      <c r="AT2" s="344"/>
      <c r="AU2" s="572"/>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3"/>
      <c r="GK2" s="573"/>
      <c r="GL2" s="573"/>
      <c r="GM2" s="573"/>
      <c r="GN2" s="573"/>
      <c r="GO2" s="573"/>
      <c r="GP2" s="573"/>
      <c r="GQ2" s="573"/>
      <c r="GR2" s="573"/>
      <c r="GS2" s="573"/>
      <c r="GT2" s="573"/>
      <c r="GU2" s="573"/>
      <c r="GV2" s="573"/>
      <c r="GW2" s="573"/>
      <c r="GX2" s="573"/>
      <c r="GY2" s="573"/>
      <c r="GZ2" s="573"/>
      <c r="HA2" s="573"/>
      <c r="HB2" s="573"/>
      <c r="HC2" s="573"/>
      <c r="HD2" s="573"/>
      <c r="HE2" s="573"/>
      <c r="HF2" s="573"/>
      <c r="HG2" s="573"/>
      <c r="HH2" s="573"/>
      <c r="HI2" s="573"/>
      <c r="HJ2" s="573"/>
      <c r="HK2" s="573"/>
      <c r="HL2" s="573"/>
      <c r="HM2" s="573"/>
      <c r="HN2" s="573"/>
      <c r="HO2" s="573"/>
      <c r="HP2" s="573"/>
      <c r="HQ2" s="573"/>
      <c r="HR2" s="573"/>
      <c r="HS2" s="573"/>
      <c r="HT2" s="573"/>
      <c r="HU2" s="573"/>
      <c r="HV2" s="573"/>
      <c r="HW2" s="573"/>
      <c r="HX2" s="573"/>
      <c r="HY2" s="573"/>
      <c r="HZ2" s="573"/>
      <c r="IA2" s="573"/>
      <c r="IB2" s="573"/>
      <c r="IC2" s="573"/>
      <c r="ID2" s="573"/>
      <c r="IE2" s="573"/>
      <c r="IF2" s="573"/>
      <c r="IG2" s="573"/>
      <c r="IH2" s="573"/>
      <c r="II2" s="573"/>
      <c r="IJ2" s="573"/>
      <c r="IK2" s="573"/>
      <c r="IL2" s="573"/>
      <c r="IM2" s="573"/>
      <c r="IN2" s="573"/>
      <c r="IO2" s="573"/>
      <c r="IP2" s="573"/>
      <c r="IQ2" s="573"/>
      <c r="IR2" s="573"/>
      <c r="IS2" s="573"/>
      <c r="IT2" s="573"/>
      <c r="IU2" s="573"/>
    </row>
    <row r="3" spans="1:255" ht="41.4" customHeight="1" x14ac:dyDescent="1.1000000000000001">
      <c r="A3" s="523"/>
      <c r="B3" s="576"/>
      <c r="C3" s="577"/>
      <c r="D3" s="577"/>
      <c r="E3" s="577"/>
      <c r="F3" s="578"/>
      <c r="G3" s="522"/>
      <c r="H3" s="523"/>
      <c r="I3" s="523"/>
      <c r="J3" s="523"/>
      <c r="K3" s="523"/>
      <c r="L3" s="522"/>
      <c r="M3" s="522"/>
      <c r="N3" s="522"/>
      <c r="O3" s="522"/>
      <c r="P3" s="523"/>
      <c r="Q3" s="523"/>
      <c r="R3" s="523"/>
      <c r="S3" s="523"/>
      <c r="T3" s="523"/>
      <c r="U3" s="523"/>
      <c r="V3" s="568"/>
      <c r="W3" s="568"/>
      <c r="X3" s="569"/>
      <c r="Y3" s="570"/>
      <c r="Z3" s="579"/>
      <c r="AA3" s="579"/>
      <c r="AB3" s="338"/>
      <c r="AC3" s="338"/>
      <c r="AD3" s="338"/>
      <c r="AE3" s="338"/>
      <c r="AF3" s="338"/>
      <c r="AG3" s="338"/>
      <c r="AH3" s="580"/>
      <c r="AI3" s="581"/>
      <c r="AJ3" s="582"/>
      <c r="AK3" s="583"/>
      <c r="AL3" s="338"/>
      <c r="AM3" s="571"/>
      <c r="AN3" s="571"/>
      <c r="AO3" s="338"/>
      <c r="AP3" s="338"/>
      <c r="AQ3" s="924"/>
      <c r="AR3" s="924"/>
      <c r="AS3" s="924"/>
      <c r="AT3" s="338"/>
    </row>
    <row r="4" spans="1:255" ht="13.5" customHeight="1" x14ac:dyDescent="0.6">
      <c r="A4" s="523"/>
      <c r="B4" s="522"/>
      <c r="C4" s="522"/>
      <c r="D4" s="522"/>
      <c r="E4" s="522"/>
      <c r="F4" s="522"/>
      <c r="G4" s="522"/>
      <c r="H4" s="522"/>
      <c r="I4" s="522"/>
      <c r="J4" s="522"/>
      <c r="K4" s="522"/>
      <c r="L4" s="522"/>
      <c r="M4" s="522"/>
      <c r="N4" s="522"/>
      <c r="O4" s="522"/>
      <c r="P4" s="522"/>
      <c r="Q4" s="522"/>
      <c r="R4" s="522"/>
      <c r="S4" s="522"/>
      <c r="T4" s="522"/>
      <c r="U4" s="522"/>
      <c r="V4" s="568"/>
      <c r="W4" s="568"/>
      <c r="X4" s="569"/>
      <c r="Y4" s="584"/>
      <c r="Z4" s="343"/>
      <c r="AA4" s="343"/>
      <c r="AB4" s="343"/>
      <c r="AC4" s="343"/>
      <c r="AD4" s="343"/>
      <c r="AE4" s="343"/>
      <c r="AF4" s="343"/>
      <c r="AG4" s="343"/>
      <c r="AH4" s="494"/>
      <c r="AI4" s="585"/>
      <c r="AJ4" s="582"/>
      <c r="AK4" s="583"/>
      <c r="AL4" s="338"/>
      <c r="AM4" s="571"/>
      <c r="AN4" s="571"/>
      <c r="AO4" s="338"/>
      <c r="AP4" s="338"/>
      <c r="AQ4" s="924"/>
      <c r="AR4" s="924"/>
      <c r="AS4" s="924"/>
      <c r="AT4" s="338"/>
    </row>
    <row r="5" spans="1:255" ht="14.7" customHeight="1" x14ac:dyDescent="0.55000000000000004">
      <c r="A5" s="523"/>
      <c r="B5" s="523"/>
      <c r="C5" s="523"/>
      <c r="D5" s="523"/>
      <c r="E5" s="523"/>
      <c r="F5" s="523"/>
      <c r="G5" s="523"/>
      <c r="H5" s="523"/>
      <c r="I5" s="523"/>
      <c r="J5" s="523"/>
      <c r="K5" s="523"/>
      <c r="L5" s="523"/>
      <c r="M5" s="523"/>
      <c r="N5" s="523"/>
      <c r="O5" s="523"/>
      <c r="P5" s="523"/>
      <c r="Q5" s="523"/>
      <c r="R5" s="523"/>
      <c r="S5" s="523"/>
      <c r="T5" s="523"/>
      <c r="U5" s="523"/>
      <c r="V5" s="568"/>
      <c r="W5" s="568"/>
      <c r="X5" s="569"/>
      <c r="Y5" s="570"/>
      <c r="Z5" s="338"/>
      <c r="AA5" s="338"/>
      <c r="AB5" s="338"/>
      <c r="AC5" s="338"/>
      <c r="AD5" s="338"/>
      <c r="AE5" s="338"/>
      <c r="AF5" s="338"/>
      <c r="AG5" s="338"/>
      <c r="AH5" s="338"/>
      <c r="AI5" s="338"/>
      <c r="AJ5" s="338"/>
      <c r="AK5" s="343"/>
      <c r="AL5" s="338"/>
      <c r="AM5" s="571"/>
      <c r="AN5" s="571"/>
      <c r="AO5" s="338"/>
      <c r="AP5" s="338"/>
      <c r="AQ5" s="338"/>
      <c r="AR5" s="338"/>
      <c r="AS5" s="338"/>
      <c r="AT5" s="338"/>
    </row>
    <row r="6" spans="1:255" ht="10.8" customHeight="1" x14ac:dyDescent="0.55000000000000004">
      <c r="A6" s="523"/>
      <c r="B6" s="523"/>
      <c r="C6" s="523"/>
      <c r="D6" s="523"/>
      <c r="E6" s="523"/>
      <c r="F6" s="523"/>
      <c r="G6" s="523"/>
      <c r="H6" s="523"/>
      <c r="I6" s="523"/>
      <c r="J6" s="523"/>
      <c r="K6" s="523"/>
      <c r="L6" s="523"/>
      <c r="M6" s="523"/>
      <c r="N6" s="523"/>
      <c r="O6" s="523"/>
      <c r="P6" s="523"/>
      <c r="Q6" s="523"/>
      <c r="R6" s="523"/>
      <c r="S6" s="523"/>
      <c r="T6" s="523"/>
      <c r="U6" s="523"/>
      <c r="V6" s="568"/>
      <c r="W6" s="568"/>
      <c r="X6" s="569"/>
      <c r="Y6" s="570"/>
      <c r="Z6" s="338"/>
      <c r="AA6" s="338"/>
      <c r="AB6" s="338"/>
      <c r="AC6" s="338"/>
      <c r="AD6" s="338"/>
      <c r="AE6" s="338"/>
      <c r="AF6" s="338"/>
      <c r="AG6" s="338"/>
      <c r="AH6" s="338"/>
      <c r="AI6" s="338"/>
      <c r="AJ6" s="338"/>
      <c r="AK6" s="343"/>
      <c r="AL6" s="338"/>
      <c r="AM6" s="571"/>
      <c r="AN6" s="571"/>
      <c r="AO6" s="338"/>
      <c r="AP6" s="338"/>
      <c r="AQ6" s="338"/>
      <c r="AR6" s="338"/>
      <c r="AS6" s="338"/>
      <c r="AT6" s="338"/>
    </row>
    <row r="7" spans="1:255" x14ac:dyDescent="0.55000000000000004">
      <c r="A7" s="586"/>
      <c r="B7" s="523"/>
      <c r="C7" s="523"/>
      <c r="D7" s="523"/>
      <c r="E7" s="523"/>
      <c r="F7" s="523"/>
      <c r="G7" s="523"/>
      <c r="H7" s="523"/>
      <c r="I7" s="523"/>
      <c r="J7" s="523"/>
      <c r="K7" s="523"/>
      <c r="L7" s="523"/>
      <c r="M7" s="523"/>
      <c r="N7" s="523"/>
      <c r="O7" s="523"/>
      <c r="P7" s="523"/>
      <c r="Q7" s="523"/>
      <c r="R7" s="523"/>
      <c r="S7" s="523"/>
      <c r="T7" s="523"/>
      <c r="U7" s="523"/>
      <c r="V7" s="587"/>
      <c r="W7" s="587"/>
      <c r="X7" s="569"/>
      <c r="Y7" s="570"/>
      <c r="Z7" s="505"/>
      <c r="AA7" s="338"/>
      <c r="AB7" s="588"/>
      <c r="AC7" s="505"/>
      <c r="AD7" s="589"/>
      <c r="AE7" s="338"/>
      <c r="AF7" s="338"/>
      <c r="AG7" s="338"/>
      <c r="AH7" s="590" t="s">
        <v>561</v>
      </c>
      <c r="AI7" s="338"/>
      <c r="AJ7" s="588"/>
      <c r="AK7" s="343"/>
      <c r="AL7" s="338"/>
      <c r="AM7" s="925" t="s">
        <v>122</v>
      </c>
      <c r="AN7" s="926"/>
      <c r="AO7" s="338"/>
      <c r="AP7" s="338"/>
      <c r="AQ7" s="338"/>
      <c r="AR7" s="338"/>
      <c r="AS7" s="338"/>
      <c r="AT7" s="338"/>
    </row>
    <row r="8" spans="1:255" ht="14.4" customHeight="1" x14ac:dyDescent="0.55000000000000004">
      <c r="A8" s="586"/>
      <c r="B8" s="523"/>
      <c r="C8" s="523"/>
      <c r="D8" s="523"/>
      <c r="E8" s="523"/>
      <c r="F8" s="523"/>
      <c r="G8" s="523"/>
      <c r="H8" s="523"/>
      <c r="I8" s="523"/>
      <c r="J8" s="523"/>
      <c r="K8" s="523"/>
      <c r="L8" s="523"/>
      <c r="M8" s="523"/>
      <c r="N8" s="523"/>
      <c r="O8" s="523"/>
      <c r="P8" s="523"/>
      <c r="Q8" s="523"/>
      <c r="R8" s="523"/>
      <c r="S8" s="523"/>
      <c r="T8" s="523"/>
      <c r="U8" s="523"/>
      <c r="V8" s="587"/>
      <c r="W8" s="587"/>
      <c r="X8" s="569"/>
      <c r="Y8" s="570"/>
      <c r="Z8" s="343"/>
      <c r="AA8" s="343"/>
      <c r="AB8" s="346"/>
      <c r="AC8" s="343"/>
      <c r="AD8" s="343"/>
      <c r="AE8" s="343"/>
      <c r="AF8" s="343"/>
      <c r="AG8" s="343"/>
      <c r="AH8" s="338"/>
      <c r="AI8" s="338"/>
      <c r="AJ8" s="338"/>
      <c r="AK8" s="343"/>
      <c r="AL8" s="338"/>
      <c r="AM8" s="571"/>
      <c r="AN8" s="571"/>
      <c r="AO8" s="338"/>
      <c r="AP8" s="338"/>
      <c r="AQ8" s="338"/>
      <c r="AR8" s="338"/>
      <c r="AS8" s="338"/>
      <c r="AT8" s="338"/>
    </row>
    <row r="9" spans="1:255" ht="14.4" customHeight="1" x14ac:dyDescent="0.55000000000000004">
      <c r="A9" s="61"/>
      <c r="B9" s="61"/>
      <c r="C9" s="61"/>
      <c r="D9" s="61"/>
      <c r="E9" s="61"/>
      <c r="F9" s="61"/>
      <c r="G9" s="61"/>
      <c r="H9" s="61"/>
      <c r="I9" s="647"/>
      <c r="J9" s="647"/>
      <c r="K9" s="665"/>
      <c r="L9" s="647"/>
      <c r="M9" s="647"/>
      <c r="N9" s="647"/>
      <c r="O9" s="647"/>
      <c r="P9" s="688"/>
      <c r="Q9" s="688"/>
      <c r="R9" s="688"/>
      <c r="S9" s="688"/>
      <c r="T9" s="688"/>
      <c r="U9" s="647"/>
      <c r="V9" s="647"/>
      <c r="W9" s="7"/>
      <c r="X9" s="7"/>
      <c r="Y9" s="570"/>
      <c r="Z9" s="338"/>
      <c r="AA9" s="338"/>
      <c r="AB9" s="338"/>
      <c r="AC9" s="338"/>
      <c r="AD9" s="338"/>
      <c r="AE9" s="338"/>
      <c r="AF9" s="338"/>
      <c r="AG9" s="338"/>
      <c r="AH9" s="590" t="s">
        <v>431</v>
      </c>
      <c r="AI9" s="338"/>
      <c r="AJ9" s="338"/>
      <c r="AK9" s="343"/>
      <c r="AL9" s="588"/>
      <c r="AM9" s="591">
        <v>7</v>
      </c>
      <c r="AN9" s="571"/>
      <c r="AO9" s="338"/>
      <c r="AP9" s="338"/>
      <c r="AQ9" s="338"/>
      <c r="AR9" s="338"/>
      <c r="AS9" s="338"/>
      <c r="AT9" s="338"/>
    </row>
    <row r="10" spans="1:255" ht="14.4" customHeight="1" x14ac:dyDescent="0.7">
      <c r="A10" s="731"/>
      <c r="B10" s="732" t="s">
        <v>857</v>
      </c>
      <c r="C10" s="61"/>
      <c r="D10" s="61"/>
      <c r="E10" s="61"/>
      <c r="F10" s="733"/>
      <c r="G10" s="733"/>
      <c r="H10" s="733"/>
      <c r="I10" s="647"/>
      <c r="J10" s="734" t="s">
        <v>843</v>
      </c>
      <c r="K10" s="735"/>
      <c r="L10" s="647"/>
      <c r="M10" s="647"/>
      <c r="N10" s="647"/>
      <c r="O10" s="736"/>
      <c r="P10" s="737" t="s">
        <v>844</v>
      </c>
      <c r="Q10" s="738"/>
      <c r="R10" s="697"/>
      <c r="S10" s="739"/>
      <c r="T10" s="739"/>
      <c r="U10" s="740"/>
      <c r="V10" s="741" t="s">
        <v>845</v>
      </c>
      <c r="W10" s="742"/>
      <c r="X10" s="7"/>
      <c r="Y10" s="570"/>
      <c r="Z10" s="338"/>
      <c r="AA10" s="338"/>
      <c r="AB10" s="593"/>
      <c r="AC10" s="338"/>
      <c r="AD10" s="338"/>
      <c r="AE10" s="338"/>
      <c r="AF10" s="582"/>
      <c r="AG10" s="582"/>
      <c r="AH10" s="338"/>
      <c r="AI10" s="338"/>
      <c r="AJ10" s="338"/>
      <c r="AK10" s="338"/>
      <c r="AL10" s="338"/>
      <c r="AM10" s="338"/>
      <c r="AN10" s="338"/>
      <c r="AO10" s="338"/>
      <c r="AP10" s="338"/>
      <c r="AQ10" s="338"/>
      <c r="AR10" s="338"/>
      <c r="AS10" s="338"/>
      <c r="AT10" s="338"/>
    </row>
    <row r="11" spans="1:255" ht="14.4" customHeight="1" x14ac:dyDescent="0.55000000000000004">
      <c r="A11" s="731"/>
      <c r="B11" s="743"/>
      <c r="C11" s="61"/>
      <c r="D11" s="61"/>
      <c r="E11" s="61"/>
      <c r="F11" s="733"/>
      <c r="G11" s="733"/>
      <c r="H11" s="733"/>
      <c r="I11" s="647"/>
      <c r="J11" s="744"/>
      <c r="K11" s="735"/>
      <c r="L11" s="647"/>
      <c r="M11" s="647"/>
      <c r="N11" s="647"/>
      <c r="O11" s="7"/>
      <c r="P11" s="738"/>
      <c r="Q11" s="745"/>
      <c r="R11" s="697"/>
      <c r="S11" s="739"/>
      <c r="T11" s="739"/>
      <c r="U11" s="740"/>
      <c r="V11" s="746"/>
      <c r="W11" s="742"/>
      <c r="X11" s="7"/>
      <c r="Y11" s="570"/>
      <c r="Z11" s="533"/>
      <c r="AA11" s="533"/>
      <c r="AB11" s="533"/>
      <c r="AC11" s="533"/>
      <c r="AD11" s="533"/>
      <c r="AE11" s="533"/>
      <c r="AF11" s="582"/>
      <c r="AG11" s="594"/>
      <c r="AH11" s="523"/>
      <c r="AI11" s="595"/>
      <c r="AJ11" s="533"/>
      <c r="AK11" s="533"/>
      <c r="AL11" s="595"/>
      <c r="AM11" s="595"/>
      <c r="AN11" s="595"/>
      <c r="AO11" s="595"/>
      <c r="AP11" s="338"/>
      <c r="AQ11" s="338"/>
      <c r="AR11" s="338"/>
      <c r="AS11" s="338"/>
      <c r="AT11" s="338"/>
    </row>
    <row r="12" spans="1:255" ht="14.4" customHeight="1" x14ac:dyDescent="0.55000000000000004">
      <c r="A12" s="61"/>
      <c r="B12" s="747" t="s">
        <v>846</v>
      </c>
      <c r="C12" s="61"/>
      <c r="D12" s="61"/>
      <c r="E12" s="61"/>
      <c r="F12" s="61"/>
      <c r="G12" s="61"/>
      <c r="H12" s="61"/>
      <c r="I12" s="647"/>
      <c r="J12" s="748" t="s">
        <v>859</v>
      </c>
      <c r="K12" s="748"/>
      <c r="L12" s="748"/>
      <c r="M12" s="748"/>
      <c r="N12" s="748"/>
      <c r="O12" s="647"/>
      <c r="P12" s="927" t="s">
        <v>847</v>
      </c>
      <c r="Q12" s="927"/>
      <c r="R12" s="927"/>
      <c r="S12" s="927"/>
      <c r="T12" s="739"/>
      <c r="U12" s="740"/>
      <c r="V12" s="928" t="s">
        <v>862</v>
      </c>
      <c r="W12" s="928"/>
      <c r="X12" s="7"/>
      <c r="Y12" s="570"/>
      <c r="Z12" s="533"/>
      <c r="AA12" s="596">
        <v>3</v>
      </c>
      <c r="AB12" s="597" t="s">
        <v>790</v>
      </c>
      <c r="AC12" s="533"/>
      <c r="AD12" s="533"/>
      <c r="AE12" s="523"/>
      <c r="AF12" s="582"/>
      <c r="AG12" s="594"/>
      <c r="AH12" s="523"/>
      <c r="AI12" s="595"/>
      <c r="AJ12" s="523"/>
      <c r="AK12" s="598">
        <v>3</v>
      </c>
      <c r="AL12" s="599" t="s">
        <v>791</v>
      </c>
      <c r="AM12" s="595"/>
      <c r="AN12" s="595"/>
      <c r="AO12" s="595"/>
      <c r="AP12" s="338"/>
      <c r="AQ12" s="338"/>
      <c r="AR12" s="338"/>
      <c r="AS12" s="338"/>
      <c r="AT12" s="338"/>
    </row>
    <row r="13" spans="1:255" x14ac:dyDescent="0.55000000000000004">
      <c r="A13" s="61"/>
      <c r="B13" s="747" t="s">
        <v>848</v>
      </c>
      <c r="C13" s="61"/>
      <c r="D13" s="61"/>
      <c r="E13" s="61"/>
      <c r="F13" s="61"/>
      <c r="G13" s="61"/>
      <c r="H13" s="61"/>
      <c r="I13" s="647"/>
      <c r="J13" s="748" t="s">
        <v>849</v>
      </c>
      <c r="K13" s="748"/>
      <c r="L13" s="748"/>
      <c r="M13" s="748"/>
      <c r="N13" s="748"/>
      <c r="O13" s="749"/>
      <c r="P13" s="927"/>
      <c r="Q13" s="927"/>
      <c r="R13" s="927"/>
      <c r="S13" s="927"/>
      <c r="T13" s="739"/>
      <c r="U13" s="740"/>
      <c r="V13" s="928"/>
      <c r="W13" s="928"/>
      <c r="X13" s="7"/>
      <c r="Y13" s="570"/>
      <c r="Z13" s="533"/>
      <c r="AA13" s="596">
        <v>1</v>
      </c>
      <c r="AB13" s="600" t="s">
        <v>792</v>
      </c>
      <c r="AC13" s="601"/>
      <c r="AD13" s="601"/>
      <c r="AE13" s="523"/>
      <c r="AF13" s="582"/>
      <c r="AG13" s="594"/>
      <c r="AH13" s="523"/>
      <c r="AI13" s="595"/>
      <c r="AJ13" s="523"/>
      <c r="AK13" s="596"/>
      <c r="AL13" s="599"/>
      <c r="AM13" s="595"/>
      <c r="AN13" s="595"/>
      <c r="AO13" s="595"/>
      <c r="AP13" s="338"/>
      <c r="AQ13" s="338"/>
      <c r="AR13" s="338"/>
      <c r="AS13" s="338"/>
      <c r="AT13" s="338"/>
    </row>
    <row r="14" spans="1:255" x14ac:dyDescent="0.55000000000000004">
      <c r="A14" s="61"/>
      <c r="B14" s="747" t="s">
        <v>858</v>
      </c>
      <c r="C14" s="61"/>
      <c r="D14" s="61"/>
      <c r="E14" s="61"/>
      <c r="F14" s="61"/>
      <c r="G14" s="61"/>
      <c r="H14" s="61"/>
      <c r="I14" s="647"/>
      <c r="J14" s="748" t="s">
        <v>850</v>
      </c>
      <c r="K14" s="750"/>
      <c r="L14" s="647"/>
      <c r="M14" s="647"/>
      <c r="N14" s="647"/>
      <c r="O14" s="749"/>
      <c r="P14" s="927"/>
      <c r="Q14" s="927"/>
      <c r="R14" s="927"/>
      <c r="S14" s="927"/>
      <c r="T14" s="739"/>
      <c r="U14" s="740"/>
      <c r="V14" s="7"/>
      <c r="W14" s="7"/>
      <c r="X14" s="7"/>
      <c r="Y14" s="570"/>
      <c r="Z14" s="533"/>
      <c r="AA14" s="602" t="s">
        <v>779</v>
      </c>
      <c r="AB14" s="533"/>
      <c r="AC14" s="533"/>
      <c r="AD14" s="533"/>
      <c r="AE14" s="523"/>
      <c r="AF14" s="582"/>
      <c r="AG14" s="594"/>
      <c r="AH14" s="523"/>
      <c r="AI14" s="595"/>
      <c r="AJ14" s="603" t="s">
        <v>779</v>
      </c>
      <c r="AK14" s="603" t="s">
        <v>779</v>
      </c>
      <c r="AL14" s="603" t="s">
        <v>779</v>
      </c>
      <c r="AM14" s="603" t="s">
        <v>779</v>
      </c>
      <c r="AN14" s="603" t="s">
        <v>779</v>
      </c>
      <c r="AO14" s="604"/>
      <c r="AP14" s="338"/>
      <c r="AQ14" s="338"/>
      <c r="AR14" s="338"/>
      <c r="AS14" s="338"/>
      <c r="AT14" s="338"/>
    </row>
    <row r="15" spans="1:255" ht="14.4" customHeight="1" x14ac:dyDescent="0.55000000000000004">
      <c r="A15" s="61"/>
      <c r="B15" s="61"/>
      <c r="C15" s="61"/>
      <c r="D15" s="61"/>
      <c r="E15" s="751"/>
      <c r="F15" s="751"/>
      <c r="G15" s="751"/>
      <c r="H15" s="751"/>
      <c r="I15" s="647"/>
      <c r="J15" s="665" t="s">
        <v>868</v>
      </c>
      <c r="K15" s="752"/>
      <c r="L15" s="647"/>
      <c r="M15" s="647"/>
      <c r="N15" s="647"/>
      <c r="O15" s="749"/>
      <c r="P15" s="927"/>
      <c r="Q15" s="927"/>
      <c r="R15" s="927"/>
      <c r="S15" s="927"/>
      <c r="T15" s="739"/>
      <c r="U15" s="740"/>
      <c r="V15" s="928" t="s">
        <v>863</v>
      </c>
      <c r="W15" s="928"/>
      <c r="X15" s="7"/>
      <c r="Y15" s="570"/>
      <c r="Z15" s="533"/>
      <c r="AA15" s="533"/>
      <c r="AB15" s="523"/>
      <c r="AC15" s="523"/>
      <c r="AD15" s="523"/>
      <c r="AE15" s="523"/>
      <c r="AF15" s="582"/>
      <c r="AG15" s="594"/>
      <c r="AH15" s="523"/>
      <c r="AI15" s="523"/>
      <c r="AJ15" s="603" t="s">
        <v>779</v>
      </c>
      <c r="AK15" s="603" t="s">
        <v>779</v>
      </c>
      <c r="AL15" s="603" t="s">
        <v>779</v>
      </c>
      <c r="AM15" s="603" t="s">
        <v>779</v>
      </c>
      <c r="AN15" s="603" t="s">
        <v>779</v>
      </c>
      <c r="AO15" s="605"/>
      <c r="AP15" s="338"/>
      <c r="AQ15" s="338"/>
      <c r="AR15" s="338"/>
      <c r="AS15" s="338"/>
      <c r="AT15" s="338"/>
    </row>
    <row r="16" spans="1:255" ht="13.2" customHeight="1" x14ac:dyDescent="0.55000000000000004">
      <c r="A16" s="61"/>
      <c r="B16" s="61"/>
      <c r="C16" s="61"/>
      <c r="D16" s="61"/>
      <c r="E16" s="62"/>
      <c r="F16" s="62"/>
      <c r="G16" s="62"/>
      <c r="H16" s="62"/>
      <c r="I16" s="647"/>
      <c r="J16" s="7"/>
      <c r="K16" s="753"/>
      <c r="L16" s="647"/>
      <c r="M16" s="647"/>
      <c r="N16" s="647"/>
      <c r="O16" s="647"/>
      <c r="P16" s="927" t="s">
        <v>851</v>
      </c>
      <c r="Q16" s="927"/>
      <c r="R16" s="927"/>
      <c r="S16" s="927"/>
      <c r="T16" s="927"/>
      <c r="U16" s="740"/>
      <c r="V16" s="928"/>
      <c r="W16" s="928"/>
      <c r="X16" s="7"/>
      <c r="Y16" s="570"/>
      <c r="Z16" s="533"/>
      <c r="AA16" s="606" t="s">
        <v>272</v>
      </c>
      <c r="AB16" s="607" t="s">
        <v>432</v>
      </c>
      <c r="AC16" s="606" t="s">
        <v>98</v>
      </c>
      <c r="AD16" s="606" t="s">
        <v>581</v>
      </c>
      <c r="AE16" s="606"/>
      <c r="AF16" s="582"/>
      <c r="AG16" s="594"/>
      <c r="AH16" s="592" t="s">
        <v>243</v>
      </c>
      <c r="AI16" s="523"/>
      <c r="AJ16" s="607" t="s">
        <v>248</v>
      </c>
      <c r="AK16" s="607" t="s">
        <v>247</v>
      </c>
      <c r="AL16" s="607" t="s">
        <v>193</v>
      </c>
      <c r="AM16" s="607" t="s">
        <v>241</v>
      </c>
      <c r="AN16" s="607" t="s">
        <v>242</v>
      </c>
      <c r="AO16" s="607"/>
      <c r="AP16" s="338"/>
      <c r="AQ16" s="608" t="s">
        <v>417</v>
      </c>
      <c r="AR16" s="346"/>
      <c r="AS16" s="582"/>
      <c r="AT16" s="582"/>
    </row>
    <row r="17" spans="1:47" ht="20.100000000000001" customHeight="1" x14ac:dyDescent="0.55000000000000004">
      <c r="A17" s="61"/>
      <c r="B17" s="61"/>
      <c r="C17" s="61"/>
      <c r="D17" s="79"/>
      <c r="E17" s="754"/>
      <c r="F17" s="79"/>
      <c r="G17" s="79"/>
      <c r="H17" s="79"/>
      <c r="I17" s="647"/>
      <c r="J17" s="755"/>
      <c r="K17" s="756"/>
      <c r="L17" s="755"/>
      <c r="M17" s="757"/>
      <c r="N17" s="647"/>
      <c r="O17" s="647"/>
      <c r="P17" s="927"/>
      <c r="Q17" s="927"/>
      <c r="R17" s="927"/>
      <c r="S17" s="927"/>
      <c r="T17" s="927"/>
      <c r="U17" s="740"/>
      <c r="V17" s="755"/>
      <c r="W17" s="742"/>
      <c r="X17" s="7"/>
      <c r="Y17" s="609"/>
      <c r="Z17" s="533"/>
      <c r="AA17" s="610" t="s">
        <v>779</v>
      </c>
      <c r="AB17" s="611" t="s">
        <v>779</v>
      </c>
      <c r="AC17" s="612">
        <v>35724</v>
      </c>
      <c r="AD17" s="613">
        <v>22</v>
      </c>
      <c r="AE17" s="612"/>
      <c r="AF17" s="582"/>
      <c r="AG17" s="594"/>
      <c r="AH17" s="614" t="s">
        <v>160</v>
      </c>
      <c r="AI17" s="614"/>
      <c r="AJ17" s="615">
        <v>42389</v>
      </c>
      <c r="AK17" s="615" t="s">
        <v>779</v>
      </c>
      <c r="AL17" s="615" t="s">
        <v>779</v>
      </c>
      <c r="AM17" s="615" t="s">
        <v>779</v>
      </c>
      <c r="AN17" s="615" t="s">
        <v>779</v>
      </c>
      <c r="AO17" s="616"/>
      <c r="AP17" s="338"/>
      <c r="AQ17" s="346"/>
      <c r="AR17" s="346"/>
      <c r="AS17" s="582"/>
      <c r="AT17" s="582"/>
    </row>
    <row r="18" spans="1:47" ht="14.4" customHeight="1" x14ac:dyDescent="0.55000000000000004">
      <c r="A18" s="61"/>
      <c r="B18" s="799" t="s">
        <v>852</v>
      </c>
      <c r="C18" s="61"/>
      <c r="D18" s="61"/>
      <c r="E18" s="931" t="s">
        <v>853</v>
      </c>
      <c r="F18" s="934" t="s">
        <v>869</v>
      </c>
      <c r="G18" s="936" t="s">
        <v>867</v>
      </c>
      <c r="H18" s="758"/>
      <c r="I18" s="647"/>
      <c r="J18" s="930" t="s">
        <v>860</v>
      </c>
      <c r="K18" s="800" t="s">
        <v>88</v>
      </c>
      <c r="L18" s="938" t="s">
        <v>866</v>
      </c>
      <c r="M18" s="940" t="s">
        <v>861</v>
      </c>
      <c r="N18" s="942" t="s">
        <v>865</v>
      </c>
      <c r="O18" s="759"/>
      <c r="P18" s="760"/>
      <c r="Q18" s="944" t="s">
        <v>864</v>
      </c>
      <c r="R18" s="946" t="s">
        <v>526</v>
      </c>
      <c r="S18" s="948" t="s">
        <v>527</v>
      </c>
      <c r="T18" s="760"/>
      <c r="U18" s="759"/>
      <c r="V18" s="929" t="s">
        <v>870</v>
      </c>
      <c r="W18" s="929"/>
      <c r="X18" s="7"/>
      <c r="Y18" s="609"/>
      <c r="Z18" s="533"/>
      <c r="AA18" s="617">
        <v>44044</v>
      </c>
      <c r="AB18" s="611" t="s">
        <v>249</v>
      </c>
      <c r="AC18" s="612">
        <v>18884</v>
      </c>
      <c r="AD18" s="613">
        <v>68</v>
      </c>
      <c r="AE18" s="612"/>
      <c r="AF18" s="582"/>
      <c r="AG18" s="594"/>
      <c r="AH18" s="614" t="s">
        <v>158</v>
      </c>
      <c r="AI18" s="523"/>
      <c r="AJ18" s="615" t="s">
        <v>779</v>
      </c>
      <c r="AK18" s="615" t="s">
        <v>779</v>
      </c>
      <c r="AL18" s="615" t="s">
        <v>779</v>
      </c>
      <c r="AM18" s="615" t="s">
        <v>779</v>
      </c>
      <c r="AN18" s="615" t="s">
        <v>779</v>
      </c>
      <c r="AO18" s="616"/>
      <c r="AP18" s="338"/>
      <c r="AQ18" s="618">
        <v>4226.9477579365075</v>
      </c>
      <c r="AR18" s="346" t="s">
        <v>582</v>
      </c>
      <c r="AS18" s="582"/>
      <c r="AT18" s="582"/>
      <c r="AU18" s="619"/>
    </row>
    <row r="19" spans="1:47" x14ac:dyDescent="0.55000000000000004">
      <c r="A19" s="61"/>
      <c r="B19" s="61"/>
      <c r="C19" s="61"/>
      <c r="D19" s="61"/>
      <c r="E19" s="932"/>
      <c r="F19" s="934"/>
      <c r="G19" s="936"/>
      <c r="H19" s="758"/>
      <c r="I19" s="647"/>
      <c r="J19" s="930"/>
      <c r="K19" s="665"/>
      <c r="L19" s="938"/>
      <c r="M19" s="940"/>
      <c r="N19" s="942"/>
      <c r="O19" s="759"/>
      <c r="P19" s="760"/>
      <c r="Q19" s="944"/>
      <c r="R19" s="946"/>
      <c r="S19" s="948"/>
      <c r="T19" s="760"/>
      <c r="U19" s="759"/>
      <c r="V19" s="929"/>
      <c r="W19" s="929"/>
      <c r="X19" s="7"/>
      <c r="Y19" s="609"/>
      <c r="Z19" s="533"/>
      <c r="AA19" s="617" t="s">
        <v>779</v>
      </c>
      <c r="AB19" s="611" t="s">
        <v>779</v>
      </c>
      <c r="AC19" s="612">
        <v>20489</v>
      </c>
      <c r="AD19" s="613">
        <v>64</v>
      </c>
      <c r="AE19" s="612"/>
      <c r="AF19" s="582"/>
      <c r="AG19" s="594"/>
      <c r="AH19" s="614" t="s">
        <v>157</v>
      </c>
      <c r="AI19" s="614"/>
      <c r="AJ19" s="615" t="s">
        <v>779</v>
      </c>
      <c r="AK19" s="615" t="s">
        <v>779</v>
      </c>
      <c r="AL19" s="615" t="s">
        <v>779</v>
      </c>
      <c r="AM19" s="615" t="s">
        <v>779</v>
      </c>
      <c r="AN19" s="615">
        <v>41334</v>
      </c>
      <c r="AO19" s="616"/>
      <c r="AP19" s="338"/>
      <c r="AQ19" s="618"/>
      <c r="AR19" s="346"/>
      <c r="AS19" s="582"/>
      <c r="AT19" s="582"/>
    </row>
    <row r="20" spans="1:47" x14ac:dyDescent="0.55000000000000004">
      <c r="A20" s="61"/>
      <c r="B20" s="61"/>
      <c r="C20" s="61"/>
      <c r="D20" s="61"/>
      <c r="E20" s="932"/>
      <c r="F20" s="934"/>
      <c r="G20" s="936"/>
      <c r="H20" s="758"/>
      <c r="I20" s="647"/>
      <c r="J20" s="930"/>
      <c r="K20" s="665"/>
      <c r="L20" s="938"/>
      <c r="M20" s="940"/>
      <c r="N20" s="942"/>
      <c r="O20" s="759"/>
      <c r="P20" s="760"/>
      <c r="Q20" s="944"/>
      <c r="R20" s="946"/>
      <c r="S20" s="948"/>
      <c r="T20" s="760"/>
      <c r="U20" s="759"/>
      <c r="V20" s="929"/>
      <c r="W20" s="929"/>
      <c r="X20" s="7"/>
      <c r="Y20" s="609"/>
      <c r="Z20" s="533"/>
      <c r="AA20" s="617" t="s">
        <v>779</v>
      </c>
      <c r="AB20" s="611" t="s">
        <v>779</v>
      </c>
      <c r="AC20" s="612">
        <v>26666</v>
      </c>
      <c r="AD20" s="613">
        <v>47</v>
      </c>
      <c r="AE20" s="612"/>
      <c r="AF20" s="582"/>
      <c r="AG20" s="594"/>
      <c r="AH20" s="614" t="s">
        <v>155</v>
      </c>
      <c r="AI20" s="523"/>
      <c r="AJ20" s="615" t="s">
        <v>779</v>
      </c>
      <c r="AK20" s="615" t="s">
        <v>779</v>
      </c>
      <c r="AL20" s="615" t="s">
        <v>779</v>
      </c>
      <c r="AM20" s="620">
        <v>40394</v>
      </c>
      <c r="AN20" s="615" t="s">
        <v>779</v>
      </c>
      <c r="AO20" s="616"/>
      <c r="AP20" s="338"/>
      <c r="AQ20" s="618"/>
      <c r="AR20" s="346"/>
      <c r="AS20" s="582"/>
      <c r="AT20" s="582"/>
    </row>
    <row r="21" spans="1:47" x14ac:dyDescent="0.55000000000000004">
      <c r="A21" s="61"/>
      <c r="B21" s="61"/>
      <c r="C21" s="61"/>
      <c r="D21" s="61"/>
      <c r="E21" s="932"/>
      <c r="F21" s="934"/>
      <c r="G21" s="936"/>
      <c r="H21" s="758"/>
      <c r="I21" s="647"/>
      <c r="J21" s="761" t="s">
        <v>882</v>
      </c>
      <c r="K21" s="762"/>
      <c r="L21" s="938"/>
      <c r="M21" s="940"/>
      <c r="N21" s="942"/>
      <c r="O21" s="759"/>
      <c r="P21" s="760"/>
      <c r="Q21" s="944"/>
      <c r="R21" s="946"/>
      <c r="S21" s="948"/>
      <c r="T21" s="760"/>
      <c r="U21" s="759"/>
      <c r="V21" s="929"/>
      <c r="W21" s="929"/>
      <c r="X21" s="7"/>
      <c r="Y21" s="609"/>
      <c r="Z21" s="533"/>
      <c r="AA21" s="617">
        <v>44075</v>
      </c>
      <c r="AB21" s="611" t="s">
        <v>407</v>
      </c>
      <c r="AC21" s="612">
        <v>27990</v>
      </c>
      <c r="AD21" s="613">
        <v>43</v>
      </c>
      <c r="AE21" s="612"/>
      <c r="AF21" s="582"/>
      <c r="AG21" s="594"/>
      <c r="AH21" s="614" t="s">
        <v>153</v>
      </c>
      <c r="AI21" s="614"/>
      <c r="AJ21" s="615" t="s">
        <v>779</v>
      </c>
      <c r="AK21" s="615" t="s">
        <v>779</v>
      </c>
      <c r="AL21" s="615" t="s">
        <v>779</v>
      </c>
      <c r="AM21" s="615" t="s">
        <v>779</v>
      </c>
      <c r="AN21" s="615" t="s">
        <v>779</v>
      </c>
      <c r="AO21" s="616"/>
      <c r="AP21" s="338"/>
      <c r="AQ21" s="618">
        <v>59177.268611111111</v>
      </c>
      <c r="AR21" s="346" t="s">
        <v>252</v>
      </c>
      <c r="AS21" s="582"/>
      <c r="AT21" s="582"/>
    </row>
    <row r="22" spans="1:47" x14ac:dyDescent="0.55000000000000004">
      <c r="A22" s="61"/>
      <c r="B22" s="61"/>
      <c r="C22" s="61"/>
      <c r="D22" s="61"/>
      <c r="E22" s="933"/>
      <c r="F22" s="935"/>
      <c r="G22" s="937"/>
      <c r="H22" s="758"/>
      <c r="I22" s="647"/>
      <c r="J22" s="763" t="s">
        <v>528</v>
      </c>
      <c r="K22" s="762"/>
      <c r="L22" s="939"/>
      <c r="M22" s="941"/>
      <c r="N22" s="943"/>
      <c r="O22" s="759"/>
      <c r="P22" s="760"/>
      <c r="Q22" s="945"/>
      <c r="R22" s="947"/>
      <c r="S22" s="949"/>
      <c r="T22" s="760"/>
      <c r="U22" s="759"/>
      <c r="V22" s="929"/>
      <c r="W22" s="929"/>
      <c r="X22" s="7"/>
      <c r="Y22" s="609"/>
      <c r="Z22" s="533"/>
      <c r="AA22" s="617" t="s">
        <v>779</v>
      </c>
      <c r="AB22" s="611" t="s">
        <v>779</v>
      </c>
      <c r="AC22" s="612">
        <v>25960</v>
      </c>
      <c r="AD22" s="613">
        <v>49</v>
      </c>
      <c r="AE22" s="612"/>
      <c r="AF22" s="582"/>
      <c r="AG22" s="594"/>
      <c r="AH22" s="614" t="s">
        <v>151</v>
      </c>
      <c r="AI22" s="523"/>
      <c r="AJ22" s="615" t="s">
        <v>779</v>
      </c>
      <c r="AK22" s="615" t="s">
        <v>779</v>
      </c>
      <c r="AL22" s="615" t="s">
        <v>779</v>
      </c>
      <c r="AM22" s="615">
        <v>35309</v>
      </c>
      <c r="AN22" s="615" t="s">
        <v>779</v>
      </c>
      <c r="AO22" s="616"/>
      <c r="AP22" s="338"/>
      <c r="AQ22" s="618">
        <v>25379.686547619043</v>
      </c>
      <c r="AR22" s="346" t="s">
        <v>253</v>
      </c>
      <c r="AS22" s="582"/>
      <c r="AT22" s="582"/>
    </row>
    <row r="23" spans="1:47" x14ac:dyDescent="0.55000000000000004">
      <c r="A23" s="61"/>
      <c r="B23" s="764" t="s">
        <v>779</v>
      </c>
      <c r="C23" s="61"/>
      <c r="D23" s="765"/>
      <c r="E23" s="766" t="s">
        <v>779</v>
      </c>
      <c r="F23" s="640"/>
      <c r="G23" s="767"/>
      <c r="H23" s="768"/>
      <c r="I23" s="769" t="s">
        <v>115</v>
      </c>
      <c r="J23" s="797" t="s">
        <v>114</v>
      </c>
      <c r="K23" s="770" t="s">
        <v>121</v>
      </c>
      <c r="L23" s="771" t="s">
        <v>118</v>
      </c>
      <c r="M23" s="772"/>
      <c r="N23" s="772"/>
      <c r="O23" s="773"/>
      <c r="P23" s="774"/>
      <c r="Q23" s="784"/>
      <c r="R23" s="775" t="s">
        <v>779</v>
      </c>
      <c r="S23" s="783" t="s">
        <v>779</v>
      </c>
      <c r="T23" s="776"/>
      <c r="U23" s="777"/>
      <c r="V23" s="778" t="s">
        <v>779</v>
      </c>
      <c r="W23" s="742"/>
      <c r="X23" s="7"/>
      <c r="Y23" s="609"/>
      <c r="Z23" s="533"/>
      <c r="AA23" s="617" t="s">
        <v>779</v>
      </c>
      <c r="AB23" s="611" t="s">
        <v>779</v>
      </c>
      <c r="AC23" s="612">
        <v>31521</v>
      </c>
      <c r="AD23" s="613">
        <v>34</v>
      </c>
      <c r="AE23" s="612"/>
      <c r="AF23" s="582"/>
      <c r="AG23" s="594"/>
      <c r="AH23" s="614" t="s">
        <v>150</v>
      </c>
      <c r="AI23" s="614"/>
      <c r="AJ23" s="615" t="s">
        <v>779</v>
      </c>
      <c r="AK23" s="615">
        <v>42074</v>
      </c>
      <c r="AL23" s="615" t="s">
        <v>779</v>
      </c>
      <c r="AM23" s="615" t="s">
        <v>779</v>
      </c>
      <c r="AN23" s="615" t="s">
        <v>779</v>
      </c>
      <c r="AO23" s="616"/>
      <c r="AP23" s="338"/>
      <c r="AQ23" s="618"/>
      <c r="AR23" s="346"/>
      <c r="AS23" s="582"/>
      <c r="AT23" s="582"/>
    </row>
    <row r="24" spans="1:47" x14ac:dyDescent="0.55000000000000004">
      <c r="A24" s="61"/>
      <c r="B24" s="764" t="s">
        <v>779</v>
      </c>
      <c r="C24" s="61"/>
      <c r="D24" s="765"/>
      <c r="E24" s="766" t="s">
        <v>779</v>
      </c>
      <c r="F24" s="640"/>
      <c r="G24" s="779"/>
      <c r="H24" s="768"/>
      <c r="I24" s="769" t="s">
        <v>127</v>
      </c>
      <c r="J24" s="798" t="s">
        <v>126</v>
      </c>
      <c r="K24" s="780" t="s">
        <v>121</v>
      </c>
      <c r="L24" s="771" t="s">
        <v>118</v>
      </c>
      <c r="M24" s="772"/>
      <c r="N24" s="781"/>
      <c r="O24" s="773"/>
      <c r="P24" s="774"/>
      <c r="Q24" s="784" t="s">
        <v>76</v>
      </c>
      <c r="R24" s="775">
        <v>44128.6</v>
      </c>
      <c r="S24" s="783" t="s">
        <v>95</v>
      </c>
      <c r="T24" s="776"/>
      <c r="U24" s="777"/>
      <c r="V24" s="778" t="s">
        <v>76</v>
      </c>
      <c r="W24" s="742"/>
      <c r="X24" s="7"/>
      <c r="Y24" s="609"/>
      <c r="Z24" s="533"/>
      <c r="AA24" s="617" t="s">
        <v>779</v>
      </c>
      <c r="AB24" s="611" t="s">
        <v>820</v>
      </c>
      <c r="AC24" s="612">
        <v>27904</v>
      </c>
      <c r="AD24" s="613">
        <v>44</v>
      </c>
      <c r="AE24" s="612"/>
      <c r="AF24" s="582"/>
      <c r="AG24" s="594"/>
      <c r="AH24" s="614" t="s">
        <v>149</v>
      </c>
      <c r="AI24" s="523"/>
      <c r="AJ24" s="615" t="s">
        <v>779</v>
      </c>
      <c r="AK24" s="615" t="s">
        <v>779</v>
      </c>
      <c r="AL24" s="615" t="s">
        <v>779</v>
      </c>
      <c r="AM24" s="615" t="s">
        <v>779</v>
      </c>
      <c r="AN24" s="615" t="s">
        <v>779</v>
      </c>
      <c r="AO24" s="616"/>
      <c r="AP24" s="338"/>
      <c r="AQ24" s="618">
        <v>710127.22333333339</v>
      </c>
      <c r="AR24" s="346" t="s">
        <v>254</v>
      </c>
      <c r="AS24" s="582"/>
      <c r="AT24" s="582"/>
    </row>
    <row r="25" spans="1:47" x14ac:dyDescent="0.55000000000000004">
      <c r="A25" s="61"/>
      <c r="B25" s="764" t="s">
        <v>128</v>
      </c>
      <c r="C25" s="61"/>
      <c r="D25" s="765"/>
      <c r="E25" s="766" t="s">
        <v>406</v>
      </c>
      <c r="F25" s="640" t="s">
        <v>76</v>
      </c>
      <c r="G25" s="767">
        <v>44044</v>
      </c>
      <c r="H25" s="782"/>
      <c r="I25" s="769" t="s">
        <v>779</v>
      </c>
      <c r="J25" s="797" t="s">
        <v>779</v>
      </c>
      <c r="K25" s="780" t="s">
        <v>121</v>
      </c>
      <c r="L25" s="771" t="s">
        <v>779</v>
      </c>
      <c r="M25" s="772"/>
      <c r="N25" s="772"/>
      <c r="O25" s="773"/>
      <c r="P25" s="774"/>
      <c r="Q25" s="784"/>
      <c r="R25" s="775" t="s">
        <v>779</v>
      </c>
      <c r="S25" s="783" t="s">
        <v>779</v>
      </c>
      <c r="T25" s="776"/>
      <c r="U25" s="777"/>
      <c r="V25" s="778" t="s">
        <v>779</v>
      </c>
      <c r="W25" s="742"/>
      <c r="X25" s="7"/>
      <c r="Y25" s="609"/>
      <c r="Z25" s="533"/>
      <c r="AA25" s="617" t="s">
        <v>779</v>
      </c>
      <c r="AB25" s="611" t="s">
        <v>779</v>
      </c>
      <c r="AC25" s="612">
        <v>28252</v>
      </c>
      <c r="AD25" s="613">
        <v>43</v>
      </c>
      <c r="AE25" s="612"/>
      <c r="AF25" s="582"/>
      <c r="AG25" s="594"/>
      <c r="AH25" s="614" t="s">
        <v>147</v>
      </c>
      <c r="AI25" s="614"/>
      <c r="AJ25" s="615" t="s">
        <v>779</v>
      </c>
      <c r="AK25" s="615" t="s">
        <v>779</v>
      </c>
      <c r="AL25" s="615">
        <v>37438</v>
      </c>
      <c r="AM25" s="615" t="s">
        <v>779</v>
      </c>
      <c r="AN25" s="615" t="s">
        <v>779</v>
      </c>
      <c r="AO25" s="616"/>
      <c r="AP25" s="338"/>
      <c r="AQ25" s="618">
        <v>304556.23857142852</v>
      </c>
      <c r="AR25" s="346" t="s">
        <v>255</v>
      </c>
      <c r="AS25" s="582"/>
      <c r="AT25" s="582"/>
    </row>
    <row r="26" spans="1:47" x14ac:dyDescent="0.55000000000000004">
      <c r="A26" s="61"/>
      <c r="B26" s="764" t="s">
        <v>779</v>
      </c>
      <c r="C26" s="61"/>
      <c r="D26" s="765"/>
      <c r="E26" s="766" t="s">
        <v>779</v>
      </c>
      <c r="F26" s="640"/>
      <c r="G26" s="779"/>
      <c r="H26" s="768"/>
      <c r="I26" s="769" t="s">
        <v>131</v>
      </c>
      <c r="J26" s="797" t="s">
        <v>130</v>
      </c>
      <c r="K26" s="780" t="s">
        <v>121</v>
      </c>
      <c r="L26" s="771" t="s">
        <v>118</v>
      </c>
      <c r="M26" s="772"/>
      <c r="N26" s="772"/>
      <c r="O26" s="773"/>
      <c r="P26" s="774"/>
      <c r="Q26" s="784" t="s">
        <v>76</v>
      </c>
      <c r="R26" s="775">
        <v>44067.8</v>
      </c>
      <c r="S26" s="783" t="s">
        <v>95</v>
      </c>
      <c r="T26" s="776"/>
      <c r="U26" s="777"/>
      <c r="V26" s="778" t="s">
        <v>76</v>
      </c>
      <c r="W26" s="742"/>
      <c r="X26" s="7"/>
      <c r="Y26" s="609"/>
      <c r="Z26" s="533"/>
      <c r="AA26" s="617">
        <v>44287</v>
      </c>
      <c r="AB26" s="611" t="s">
        <v>779</v>
      </c>
      <c r="AC26" s="612">
        <v>31834</v>
      </c>
      <c r="AD26" s="613">
        <v>33</v>
      </c>
      <c r="AE26" s="612"/>
      <c r="AF26" s="582"/>
      <c r="AG26" s="594"/>
      <c r="AH26" s="614" t="s">
        <v>146</v>
      </c>
      <c r="AI26" s="523"/>
      <c r="AJ26" s="615" t="s">
        <v>779</v>
      </c>
      <c r="AK26" s="615">
        <v>42401</v>
      </c>
      <c r="AL26" s="615" t="s">
        <v>779</v>
      </c>
      <c r="AM26" s="615" t="s">
        <v>779</v>
      </c>
      <c r="AN26" s="615" t="s">
        <v>779</v>
      </c>
      <c r="AO26" s="616"/>
      <c r="AP26" s="338"/>
      <c r="AQ26" s="346"/>
      <c r="AR26" s="346"/>
      <c r="AS26" s="582"/>
      <c r="AT26" s="582"/>
    </row>
    <row r="27" spans="1:47" x14ac:dyDescent="0.55000000000000004">
      <c r="A27" s="61"/>
      <c r="B27" s="764" t="s">
        <v>779</v>
      </c>
      <c r="C27" s="61"/>
      <c r="D27" s="765"/>
      <c r="E27" s="766" t="s">
        <v>779</v>
      </c>
      <c r="F27" s="640"/>
      <c r="G27" s="779"/>
      <c r="H27" s="768"/>
      <c r="I27" s="769" t="s">
        <v>133</v>
      </c>
      <c r="J27" s="797" t="s">
        <v>132</v>
      </c>
      <c r="K27" s="780" t="s">
        <v>121</v>
      </c>
      <c r="L27" s="771" t="s">
        <v>112</v>
      </c>
      <c r="M27" s="772" t="s">
        <v>257</v>
      </c>
      <c r="N27" s="781">
        <v>44075</v>
      </c>
      <c r="O27" s="773"/>
      <c r="P27" s="774"/>
      <c r="Q27" s="784"/>
      <c r="R27" s="775" t="s">
        <v>779</v>
      </c>
      <c r="S27" s="783"/>
      <c r="T27" s="776"/>
      <c r="U27" s="777"/>
      <c r="V27" s="778"/>
      <c r="W27" s="742"/>
      <c r="X27" s="7"/>
      <c r="Y27" s="609"/>
      <c r="Z27" s="533"/>
      <c r="AA27" s="617" t="s">
        <v>779</v>
      </c>
      <c r="AB27" s="611" t="s">
        <v>779</v>
      </c>
      <c r="AC27" s="612">
        <v>29721</v>
      </c>
      <c r="AD27" s="613">
        <v>39</v>
      </c>
      <c r="AE27" s="612"/>
      <c r="AF27" s="582"/>
      <c r="AG27" s="594"/>
      <c r="AH27" s="621" t="s">
        <v>144</v>
      </c>
      <c r="AI27" s="614"/>
      <c r="AJ27" s="615" t="s">
        <v>779</v>
      </c>
      <c r="AK27" s="615" t="s">
        <v>779</v>
      </c>
      <c r="AL27" s="620">
        <v>38025</v>
      </c>
      <c r="AM27" s="615" t="s">
        <v>779</v>
      </c>
      <c r="AN27" s="615" t="s">
        <v>779</v>
      </c>
      <c r="AO27" s="616"/>
      <c r="AP27" s="338"/>
      <c r="AQ27" s="622">
        <v>0.42887559941983805</v>
      </c>
      <c r="AR27" s="346" t="s">
        <v>250</v>
      </c>
      <c r="AS27" s="582"/>
      <c r="AT27" s="582"/>
    </row>
    <row r="28" spans="1:47" x14ac:dyDescent="0.55000000000000004">
      <c r="A28" s="61"/>
      <c r="B28" s="764" t="s">
        <v>779</v>
      </c>
      <c r="C28" s="61"/>
      <c r="D28" s="765"/>
      <c r="E28" s="766" t="s">
        <v>779</v>
      </c>
      <c r="F28" s="640"/>
      <c r="G28" s="779"/>
      <c r="H28" s="768"/>
      <c r="I28" s="769" t="s">
        <v>135</v>
      </c>
      <c r="J28" s="797" t="s">
        <v>134</v>
      </c>
      <c r="K28" s="780" t="s">
        <v>121</v>
      </c>
      <c r="L28" s="771" t="s">
        <v>118</v>
      </c>
      <c r="M28" s="772"/>
      <c r="N28" s="772"/>
      <c r="O28" s="773"/>
      <c r="P28" s="774"/>
      <c r="Q28" s="784"/>
      <c r="R28" s="775" t="s">
        <v>779</v>
      </c>
      <c r="S28" s="783" t="s">
        <v>779</v>
      </c>
      <c r="T28" s="776"/>
      <c r="U28" s="777"/>
      <c r="V28" s="778" t="s">
        <v>779</v>
      </c>
      <c r="W28" s="742"/>
      <c r="X28" s="7"/>
      <c r="Y28" s="609"/>
      <c r="Z28" s="533"/>
      <c r="AA28" s="617">
        <v>44075</v>
      </c>
      <c r="AB28" s="611" t="s">
        <v>256</v>
      </c>
      <c r="AC28" s="612">
        <v>33942</v>
      </c>
      <c r="AD28" s="613">
        <v>27</v>
      </c>
      <c r="AE28" s="612"/>
      <c r="AF28" s="582"/>
      <c r="AG28" s="594"/>
      <c r="AH28" s="614" t="s">
        <v>414</v>
      </c>
      <c r="AI28" s="523"/>
      <c r="AJ28" s="615" t="s">
        <v>779</v>
      </c>
      <c r="AK28" s="615" t="s">
        <v>779</v>
      </c>
      <c r="AL28" s="615" t="s">
        <v>779</v>
      </c>
      <c r="AM28" s="615" t="s">
        <v>779</v>
      </c>
      <c r="AN28" s="615" t="s">
        <v>779</v>
      </c>
      <c r="AO28" s="616"/>
      <c r="AP28" s="338"/>
      <c r="AQ28" s="345"/>
      <c r="AR28" s="345"/>
      <c r="AS28" s="583"/>
      <c r="AT28" s="583"/>
    </row>
    <row r="29" spans="1:47" x14ac:dyDescent="0.55000000000000004">
      <c r="A29" s="61"/>
      <c r="B29" s="764" t="s">
        <v>779</v>
      </c>
      <c r="C29" s="61"/>
      <c r="D29" s="765"/>
      <c r="E29" s="766" t="s">
        <v>779</v>
      </c>
      <c r="F29" s="640"/>
      <c r="G29" s="779"/>
      <c r="H29" s="768"/>
      <c r="I29" s="769" t="s">
        <v>372</v>
      </c>
      <c r="J29" s="797" t="s">
        <v>136</v>
      </c>
      <c r="K29" s="780" t="s">
        <v>121</v>
      </c>
      <c r="L29" s="771" t="s">
        <v>118</v>
      </c>
      <c r="M29" s="772"/>
      <c r="N29" s="781"/>
      <c r="O29" s="773"/>
      <c r="P29" s="774"/>
      <c r="Q29" s="784"/>
      <c r="R29" s="775" t="s">
        <v>779</v>
      </c>
      <c r="S29" s="783" t="s">
        <v>779</v>
      </c>
      <c r="T29" s="776"/>
      <c r="U29" s="777"/>
      <c r="V29" s="778" t="s">
        <v>779</v>
      </c>
      <c r="W29" s="742"/>
      <c r="X29" s="7"/>
      <c r="Y29" s="609"/>
      <c r="Z29" s="533"/>
      <c r="AA29" s="617" t="s">
        <v>779</v>
      </c>
      <c r="AB29" s="611" t="s">
        <v>779</v>
      </c>
      <c r="AC29" s="612">
        <v>33348</v>
      </c>
      <c r="AD29" s="613">
        <v>29</v>
      </c>
      <c r="AE29" s="612"/>
      <c r="AF29" s="582"/>
      <c r="AG29" s="594"/>
      <c r="AH29" s="614" t="s">
        <v>777</v>
      </c>
      <c r="AI29" s="614"/>
      <c r="AJ29" s="615" t="s">
        <v>779</v>
      </c>
      <c r="AK29" s="620">
        <v>42461</v>
      </c>
      <c r="AL29" s="615" t="s">
        <v>779</v>
      </c>
      <c r="AM29" s="615" t="s">
        <v>779</v>
      </c>
      <c r="AN29" s="615" t="s">
        <v>779</v>
      </c>
      <c r="AO29" s="616"/>
      <c r="AP29" s="338"/>
      <c r="AQ29" s="343"/>
      <c r="AR29" s="343"/>
      <c r="AS29" s="583"/>
      <c r="AT29" s="583"/>
    </row>
    <row r="30" spans="1:47" x14ac:dyDescent="0.55000000000000004">
      <c r="A30" s="61"/>
      <c r="B30" s="764" t="s">
        <v>779</v>
      </c>
      <c r="C30" s="61"/>
      <c r="D30" s="765"/>
      <c r="E30" s="766" t="s">
        <v>779</v>
      </c>
      <c r="F30" s="640"/>
      <c r="G30" s="779"/>
      <c r="H30" s="768"/>
      <c r="I30" s="769" t="s">
        <v>371</v>
      </c>
      <c r="J30" s="797" t="s">
        <v>137</v>
      </c>
      <c r="K30" s="780" t="s">
        <v>121</v>
      </c>
      <c r="L30" s="771" t="s">
        <v>118</v>
      </c>
      <c r="M30" s="772"/>
      <c r="N30" s="781"/>
      <c r="O30" s="773"/>
      <c r="P30" s="774"/>
      <c r="Q30" s="784"/>
      <c r="R30" s="775" t="s">
        <v>779</v>
      </c>
      <c r="S30" s="783" t="s">
        <v>779</v>
      </c>
      <c r="T30" s="776"/>
      <c r="U30" s="777"/>
      <c r="V30" s="778" t="s">
        <v>779</v>
      </c>
      <c r="W30" s="742"/>
      <c r="X30" s="7"/>
      <c r="Y30" s="609"/>
      <c r="Z30" s="533"/>
      <c r="AA30" s="617" t="s">
        <v>779</v>
      </c>
      <c r="AB30" s="611" t="s">
        <v>406</v>
      </c>
      <c r="AC30" s="612" t="s">
        <v>320</v>
      </c>
      <c r="AD30" s="613" t="s">
        <v>515</v>
      </c>
      <c r="AE30" s="612"/>
      <c r="AF30" s="582"/>
      <c r="AG30" s="594"/>
      <c r="AH30" s="614" t="s">
        <v>142</v>
      </c>
      <c r="AI30" s="523"/>
      <c r="AJ30" s="615" t="s">
        <v>779</v>
      </c>
      <c r="AK30" s="615" t="s">
        <v>779</v>
      </c>
      <c r="AL30" s="615" t="s">
        <v>779</v>
      </c>
      <c r="AM30" s="615" t="s">
        <v>779</v>
      </c>
      <c r="AN30" s="615" t="s">
        <v>779</v>
      </c>
      <c r="AO30" s="616"/>
      <c r="AP30" s="338"/>
      <c r="AQ30" s="618"/>
      <c r="AR30" s="346"/>
      <c r="AS30" s="582"/>
      <c r="AT30" s="582"/>
    </row>
    <row r="31" spans="1:47" x14ac:dyDescent="0.55000000000000004">
      <c r="A31" s="61"/>
      <c r="B31" s="764" t="s">
        <v>779</v>
      </c>
      <c r="C31" s="61"/>
      <c r="D31" s="765"/>
      <c r="E31" s="766" t="s">
        <v>779</v>
      </c>
      <c r="F31" s="640"/>
      <c r="G31" s="779"/>
      <c r="H31" s="768"/>
      <c r="I31" s="769" t="s">
        <v>138</v>
      </c>
      <c r="J31" s="797" t="s">
        <v>139</v>
      </c>
      <c r="K31" s="780" t="s">
        <v>121</v>
      </c>
      <c r="L31" s="771" t="s">
        <v>118</v>
      </c>
      <c r="M31" s="772"/>
      <c r="N31" s="772"/>
      <c r="O31" s="773"/>
      <c r="P31" s="774"/>
      <c r="Q31" s="784"/>
      <c r="R31" s="775" t="s">
        <v>779</v>
      </c>
      <c r="S31" s="783" t="s">
        <v>779</v>
      </c>
      <c r="T31" s="776"/>
      <c r="U31" s="777"/>
      <c r="V31" s="778" t="s">
        <v>779</v>
      </c>
      <c r="W31" s="742"/>
      <c r="X31" s="7"/>
      <c r="Y31" s="609" t="e">
        <f>B!#REF!</f>
        <v>#REF!</v>
      </c>
      <c r="Z31" s="533"/>
      <c r="AA31" s="617" t="s">
        <v>779</v>
      </c>
      <c r="AB31" s="611" t="s">
        <v>779</v>
      </c>
      <c r="AC31" s="612">
        <v>27229</v>
      </c>
      <c r="AD31" s="613">
        <v>45</v>
      </c>
      <c r="AE31" s="612"/>
      <c r="AF31" s="582"/>
      <c r="AG31" s="594"/>
      <c r="AH31" s="614" t="s">
        <v>140</v>
      </c>
      <c r="AI31" s="614"/>
      <c r="AJ31" s="615" t="s">
        <v>779</v>
      </c>
      <c r="AK31" s="615" t="s">
        <v>779</v>
      </c>
      <c r="AL31" s="615" t="s">
        <v>779</v>
      </c>
      <c r="AM31" s="615">
        <v>33725</v>
      </c>
      <c r="AN31" s="615" t="s">
        <v>779</v>
      </c>
      <c r="AO31" s="616"/>
      <c r="AP31" s="338"/>
      <c r="AQ31" s="346"/>
      <c r="AR31" s="623"/>
      <c r="AS31" s="582"/>
      <c r="AT31" s="582"/>
    </row>
    <row r="32" spans="1:47" x14ac:dyDescent="0.55000000000000004">
      <c r="A32" s="61"/>
      <c r="B32" s="764" t="s">
        <v>779</v>
      </c>
      <c r="C32" s="61"/>
      <c r="D32" s="765"/>
      <c r="E32" s="766" t="s">
        <v>779</v>
      </c>
      <c r="F32" s="640"/>
      <c r="G32" s="779"/>
      <c r="H32" s="768"/>
      <c r="I32" s="769" t="s">
        <v>141</v>
      </c>
      <c r="J32" s="797" t="s">
        <v>140</v>
      </c>
      <c r="K32" s="780" t="s">
        <v>122</v>
      </c>
      <c r="L32" s="771" t="s">
        <v>118</v>
      </c>
      <c r="M32" s="772"/>
      <c r="N32" s="772"/>
      <c r="O32" s="773"/>
      <c r="P32" s="774"/>
      <c r="Q32" s="784"/>
      <c r="R32" s="775" t="s">
        <v>779</v>
      </c>
      <c r="S32" s="783" t="s">
        <v>779</v>
      </c>
      <c r="T32" s="776"/>
      <c r="U32" s="777"/>
      <c r="V32" s="778" t="s">
        <v>779</v>
      </c>
      <c r="W32" s="742"/>
      <c r="X32" s="7"/>
      <c r="Y32" s="624"/>
      <c r="Z32" s="533"/>
      <c r="AA32" s="617"/>
      <c r="AB32" s="611"/>
      <c r="AC32" s="612"/>
      <c r="AD32" s="613"/>
      <c r="AE32" s="612"/>
      <c r="AF32" s="582"/>
      <c r="AG32" s="594"/>
      <c r="AH32" s="614"/>
      <c r="AI32" s="523"/>
      <c r="AJ32" s="615"/>
      <c r="AK32" s="615"/>
      <c r="AL32" s="615"/>
      <c r="AM32" s="615"/>
      <c r="AN32" s="615"/>
      <c r="AO32" s="616"/>
      <c r="AP32" s="338"/>
      <c r="AQ32" s="608"/>
      <c r="AR32" s="346"/>
      <c r="AS32" s="582"/>
      <c r="AT32" s="582"/>
    </row>
    <row r="33" spans="1:46" x14ac:dyDescent="0.55000000000000004">
      <c r="A33" s="61"/>
      <c r="B33" s="764" t="s">
        <v>142</v>
      </c>
      <c r="C33" s="61"/>
      <c r="D33" s="765"/>
      <c r="E33" s="766" t="s">
        <v>406</v>
      </c>
      <c r="F33" s="640" t="s">
        <v>76</v>
      </c>
      <c r="G33" s="767">
        <v>44044</v>
      </c>
      <c r="H33" s="782"/>
      <c r="I33" s="769" t="s">
        <v>779</v>
      </c>
      <c r="J33" s="797" t="s">
        <v>779</v>
      </c>
      <c r="K33" s="780" t="s">
        <v>122</v>
      </c>
      <c r="L33" s="771" t="s">
        <v>779</v>
      </c>
      <c r="M33" s="772"/>
      <c r="N33" s="772"/>
      <c r="O33" s="773"/>
      <c r="P33" s="774"/>
      <c r="Q33" s="784"/>
      <c r="R33" s="775" t="s">
        <v>779</v>
      </c>
      <c r="S33" s="783" t="s">
        <v>779</v>
      </c>
      <c r="T33" s="776"/>
      <c r="U33" s="777"/>
      <c r="V33" s="778" t="s">
        <v>779</v>
      </c>
      <c r="W33" s="742"/>
      <c r="X33" s="7"/>
      <c r="Y33" s="570"/>
      <c r="Z33" s="533"/>
      <c r="AA33" s="617"/>
      <c r="AB33" s="611"/>
      <c r="AC33" s="612"/>
      <c r="AD33" s="613"/>
      <c r="AE33" s="612"/>
      <c r="AF33" s="582"/>
      <c r="AG33" s="594"/>
      <c r="AH33" s="614"/>
      <c r="AI33" s="614"/>
      <c r="AJ33" s="615"/>
      <c r="AK33" s="615"/>
      <c r="AL33" s="615"/>
      <c r="AM33" s="615"/>
      <c r="AN33" s="615"/>
      <c r="AO33" s="616"/>
      <c r="AP33" s="338"/>
      <c r="AQ33" s="625"/>
      <c r="AR33" s="346"/>
      <c r="AS33" s="346"/>
      <c r="AT33" s="346"/>
    </row>
    <row r="34" spans="1:46" x14ac:dyDescent="0.55000000000000004">
      <c r="A34" s="61"/>
      <c r="B34" s="764" t="s">
        <v>779</v>
      </c>
      <c r="C34" s="61"/>
      <c r="D34" s="765"/>
      <c r="E34" s="766" t="s">
        <v>779</v>
      </c>
      <c r="F34" s="640"/>
      <c r="G34" s="779"/>
      <c r="H34" s="768"/>
      <c r="I34" s="769" t="s">
        <v>143</v>
      </c>
      <c r="J34" s="797" t="s">
        <v>246</v>
      </c>
      <c r="K34" s="780" t="s">
        <v>122</v>
      </c>
      <c r="L34" s="771" t="s">
        <v>118</v>
      </c>
      <c r="M34" s="772"/>
      <c r="N34" s="772"/>
      <c r="O34" s="773"/>
      <c r="P34" s="774"/>
      <c r="Q34" s="784" t="s">
        <v>76</v>
      </c>
      <c r="R34" s="775">
        <v>44037.4</v>
      </c>
      <c r="S34" s="783" t="s">
        <v>95</v>
      </c>
      <c r="T34" s="776"/>
      <c r="U34" s="777"/>
      <c r="V34" s="778" t="s">
        <v>76</v>
      </c>
      <c r="W34" s="742"/>
      <c r="X34" s="7"/>
      <c r="Y34" s="570"/>
      <c r="Z34" s="533"/>
      <c r="AA34" s="617"/>
      <c r="AB34" s="611"/>
      <c r="AC34" s="612"/>
      <c r="AD34" s="613"/>
      <c r="AE34" s="612"/>
      <c r="AF34" s="582"/>
      <c r="AG34" s="594"/>
      <c r="AH34" s="614"/>
      <c r="AI34" s="523"/>
      <c r="AJ34" s="615"/>
      <c r="AK34" s="615"/>
      <c r="AL34" s="615"/>
      <c r="AM34" s="615"/>
      <c r="AN34" s="615"/>
      <c r="AO34" s="616"/>
      <c r="AP34" s="338"/>
      <c r="AQ34" s="338"/>
      <c r="AR34" s="338"/>
      <c r="AS34" s="338"/>
      <c r="AT34" s="338"/>
    </row>
    <row r="35" spans="1:46" x14ac:dyDescent="0.55000000000000004">
      <c r="A35" s="61"/>
      <c r="B35" s="764" t="s">
        <v>779</v>
      </c>
      <c r="C35" s="61"/>
      <c r="D35" s="765"/>
      <c r="E35" s="766" t="s">
        <v>779</v>
      </c>
      <c r="F35" s="640"/>
      <c r="G35" s="779"/>
      <c r="H35" s="768"/>
      <c r="I35" s="769" t="s">
        <v>141</v>
      </c>
      <c r="J35" s="797" t="s">
        <v>414</v>
      </c>
      <c r="K35" s="780" t="s">
        <v>122</v>
      </c>
      <c r="L35" s="771" t="s">
        <v>118</v>
      </c>
      <c r="M35" s="772" t="s">
        <v>256</v>
      </c>
      <c r="N35" s="781">
        <v>44075</v>
      </c>
      <c r="O35" s="773"/>
      <c r="P35" s="774"/>
      <c r="Q35" s="784"/>
      <c r="R35" s="775" t="s">
        <v>779</v>
      </c>
      <c r="S35" s="783"/>
      <c r="T35" s="776"/>
      <c r="U35" s="777"/>
      <c r="V35" s="778"/>
      <c r="W35" s="742"/>
      <c r="X35" s="7"/>
      <c r="Y35" s="570"/>
      <c r="Z35" s="533"/>
      <c r="AA35" s="617"/>
      <c r="AB35" s="611"/>
      <c r="AC35" s="612"/>
      <c r="AD35" s="613"/>
      <c r="AE35" s="612"/>
      <c r="AF35" s="582"/>
      <c r="AG35" s="594"/>
      <c r="AH35" s="614"/>
      <c r="AI35" s="614"/>
      <c r="AJ35" s="615"/>
      <c r="AK35" s="615"/>
      <c r="AL35" s="615"/>
      <c r="AM35" s="615"/>
      <c r="AN35" s="615"/>
      <c r="AO35" s="616"/>
      <c r="AP35" s="338"/>
      <c r="AQ35" s="338"/>
      <c r="AR35" s="338"/>
      <c r="AS35" s="338"/>
      <c r="AT35" s="338"/>
    </row>
    <row r="36" spans="1:46" x14ac:dyDescent="0.55000000000000004">
      <c r="A36" s="61"/>
      <c r="B36" s="764" t="s">
        <v>779</v>
      </c>
      <c r="C36" s="61"/>
      <c r="D36" s="765"/>
      <c r="E36" s="766" t="s">
        <v>779</v>
      </c>
      <c r="F36" s="640"/>
      <c r="G36" s="779"/>
      <c r="H36" s="768"/>
      <c r="I36" s="769" t="s">
        <v>145</v>
      </c>
      <c r="J36" s="797" t="s">
        <v>144</v>
      </c>
      <c r="K36" s="780" t="s">
        <v>122</v>
      </c>
      <c r="L36" s="771" t="s">
        <v>118</v>
      </c>
      <c r="M36" s="772"/>
      <c r="N36" s="772"/>
      <c r="O36" s="773"/>
      <c r="P36" s="774"/>
      <c r="Q36" s="784" t="s">
        <v>76</v>
      </c>
      <c r="R36" s="775">
        <v>44128.6</v>
      </c>
      <c r="S36" s="783" t="s">
        <v>95</v>
      </c>
      <c r="T36" s="776"/>
      <c r="U36" s="777"/>
      <c r="V36" s="778" t="s">
        <v>76</v>
      </c>
      <c r="W36" s="742"/>
      <c r="X36" s="7"/>
      <c r="Y36" s="570"/>
      <c r="Z36" s="533"/>
      <c r="AA36" s="617"/>
      <c r="AB36" s="611"/>
      <c r="AC36" s="612"/>
      <c r="AD36" s="613"/>
      <c r="AE36" s="612"/>
      <c r="AF36" s="582"/>
      <c r="AG36" s="594"/>
      <c r="AH36" s="614"/>
      <c r="AI36" s="523"/>
      <c r="AJ36" s="615"/>
      <c r="AK36" s="615"/>
      <c r="AL36" s="615"/>
      <c r="AM36" s="615"/>
      <c r="AN36" s="615"/>
      <c r="AO36" s="616"/>
      <c r="AP36" s="338"/>
      <c r="AQ36" s="338"/>
      <c r="AR36" s="338"/>
      <c r="AS36" s="338"/>
      <c r="AT36" s="338"/>
    </row>
    <row r="37" spans="1:46" x14ac:dyDescent="0.55000000000000004">
      <c r="A37" s="61"/>
      <c r="B37" s="764" t="s">
        <v>779</v>
      </c>
      <c r="C37" s="61"/>
      <c r="D37" s="765"/>
      <c r="E37" s="766" t="s">
        <v>779</v>
      </c>
      <c r="F37" s="640"/>
      <c r="G37" s="779"/>
      <c r="H37" s="768"/>
      <c r="I37" s="769" t="s">
        <v>115</v>
      </c>
      <c r="J37" s="797" t="s">
        <v>146</v>
      </c>
      <c r="K37" s="780" t="s">
        <v>122</v>
      </c>
      <c r="L37" s="771" t="s">
        <v>112</v>
      </c>
      <c r="M37" s="772" t="s">
        <v>257</v>
      </c>
      <c r="N37" s="781">
        <v>44287</v>
      </c>
      <c r="O37" s="773"/>
      <c r="P37" s="774"/>
      <c r="Q37" s="784"/>
      <c r="R37" s="775" t="s">
        <v>779</v>
      </c>
      <c r="S37" s="783"/>
      <c r="T37" s="776"/>
      <c r="U37" s="777"/>
      <c r="V37" s="778"/>
      <c r="W37" s="742"/>
      <c r="X37" s="7"/>
      <c r="Y37" s="570"/>
      <c r="Z37" s="533"/>
      <c r="AA37" s="617"/>
      <c r="AB37" s="611"/>
      <c r="AC37" s="612"/>
      <c r="AD37" s="613"/>
      <c r="AE37" s="612"/>
      <c r="AF37" s="582"/>
      <c r="AG37" s="594"/>
      <c r="AH37" s="614"/>
      <c r="AI37" s="614"/>
      <c r="AJ37" s="615"/>
      <c r="AK37" s="615"/>
      <c r="AL37" s="615"/>
      <c r="AM37" s="615"/>
      <c r="AN37" s="615"/>
      <c r="AO37" s="616"/>
      <c r="AP37" s="338"/>
      <c r="AQ37" s="338"/>
      <c r="AR37" s="338"/>
      <c r="AS37" s="338"/>
      <c r="AT37" s="338"/>
    </row>
    <row r="38" spans="1:46" x14ac:dyDescent="0.55000000000000004">
      <c r="A38" s="61"/>
      <c r="B38" s="764" t="s">
        <v>779</v>
      </c>
      <c r="C38" s="61"/>
      <c r="D38" s="765"/>
      <c r="E38" s="766" t="s">
        <v>779</v>
      </c>
      <c r="F38" s="640"/>
      <c r="G38" s="779"/>
      <c r="H38" s="768"/>
      <c r="I38" s="769" t="s">
        <v>148</v>
      </c>
      <c r="J38" s="797" t="s">
        <v>147</v>
      </c>
      <c r="K38" s="780" t="s">
        <v>122</v>
      </c>
      <c r="L38" s="771" t="s">
        <v>118</v>
      </c>
      <c r="M38" s="772"/>
      <c r="N38" s="772"/>
      <c r="O38" s="773"/>
      <c r="P38" s="774"/>
      <c r="Q38" s="784"/>
      <c r="R38" s="775" t="s">
        <v>779</v>
      </c>
      <c r="S38" s="783"/>
      <c r="T38" s="776"/>
      <c r="U38" s="777"/>
      <c r="V38" s="778" t="s">
        <v>779</v>
      </c>
      <c r="W38" s="742"/>
      <c r="X38" s="7"/>
      <c r="Y38" s="570"/>
      <c r="Z38" s="533"/>
      <c r="AA38" s="617"/>
      <c r="AB38" s="611"/>
      <c r="AC38" s="612"/>
      <c r="AD38" s="613"/>
      <c r="AE38" s="612"/>
      <c r="AF38" s="582"/>
      <c r="AG38" s="594"/>
      <c r="AH38" s="614"/>
      <c r="AI38" s="523"/>
      <c r="AJ38" s="615"/>
      <c r="AK38" s="615"/>
      <c r="AL38" s="615"/>
      <c r="AM38" s="615"/>
      <c r="AN38" s="615"/>
      <c r="AO38" s="616"/>
      <c r="AP38" s="338"/>
      <c r="AQ38" s="338"/>
      <c r="AR38" s="338"/>
      <c r="AS38" s="338"/>
      <c r="AT38" s="338"/>
    </row>
    <row r="39" spans="1:46" x14ac:dyDescent="0.55000000000000004">
      <c r="A39" s="61"/>
      <c r="B39" s="764" t="s">
        <v>779</v>
      </c>
      <c r="C39" s="61"/>
      <c r="D39" s="765"/>
      <c r="E39" s="766" t="s">
        <v>779</v>
      </c>
      <c r="F39" s="640"/>
      <c r="G39" s="779"/>
      <c r="H39" s="768"/>
      <c r="I39" s="769" t="s">
        <v>115</v>
      </c>
      <c r="J39" s="797" t="s">
        <v>149</v>
      </c>
      <c r="K39" s="780" t="s">
        <v>122</v>
      </c>
      <c r="L39" s="771" t="s">
        <v>118</v>
      </c>
      <c r="M39" s="772"/>
      <c r="N39" s="772"/>
      <c r="O39" s="773"/>
      <c r="P39" s="774"/>
      <c r="Q39" s="784"/>
      <c r="R39" s="775" t="s">
        <v>779</v>
      </c>
      <c r="S39" s="783"/>
      <c r="T39" s="776"/>
      <c r="U39" s="777"/>
      <c r="V39" s="778" t="s">
        <v>779</v>
      </c>
      <c r="W39" s="742"/>
      <c r="X39" s="7"/>
      <c r="Y39" s="570"/>
      <c r="Z39" s="533"/>
      <c r="AA39" s="617"/>
      <c r="AB39" s="611"/>
      <c r="AC39" s="612"/>
      <c r="AD39" s="613"/>
      <c r="AE39" s="612"/>
      <c r="AF39" s="582"/>
      <c r="AG39" s="594"/>
      <c r="AH39" s="614"/>
      <c r="AI39" s="614"/>
      <c r="AJ39" s="615"/>
      <c r="AK39" s="615"/>
      <c r="AL39" s="615"/>
      <c r="AM39" s="615"/>
      <c r="AN39" s="615"/>
      <c r="AO39" s="616"/>
      <c r="AP39" s="338"/>
      <c r="AQ39" s="338"/>
      <c r="AR39" s="338"/>
      <c r="AS39" s="338"/>
      <c r="AT39" s="338"/>
    </row>
    <row r="40" spans="1:46" x14ac:dyDescent="0.55000000000000004">
      <c r="A40" s="61"/>
      <c r="B40" s="764" t="s">
        <v>779</v>
      </c>
      <c r="C40" s="61"/>
      <c r="D40" s="765"/>
      <c r="E40" s="766" t="s">
        <v>779</v>
      </c>
      <c r="F40" s="640"/>
      <c r="G40" s="779"/>
      <c r="H40" s="768"/>
      <c r="I40" s="769" t="s">
        <v>885</v>
      </c>
      <c r="J40" s="797" t="s">
        <v>150</v>
      </c>
      <c r="K40" s="780" t="s">
        <v>122</v>
      </c>
      <c r="L40" s="771" t="s">
        <v>118</v>
      </c>
      <c r="M40" s="772"/>
      <c r="N40" s="772"/>
      <c r="O40" s="773"/>
      <c r="P40" s="774"/>
      <c r="Q40" s="784"/>
      <c r="R40" s="775" t="s">
        <v>779</v>
      </c>
      <c r="S40" s="783"/>
      <c r="T40" s="776"/>
      <c r="U40" s="777"/>
      <c r="V40" s="778" t="s">
        <v>779</v>
      </c>
      <c r="W40" s="742"/>
      <c r="X40" s="7"/>
      <c r="Y40" s="570"/>
      <c r="Z40" s="533"/>
      <c r="AA40" s="617"/>
      <c r="AB40" s="611"/>
      <c r="AC40" s="612"/>
      <c r="AD40" s="613"/>
      <c r="AE40" s="612"/>
      <c r="AF40" s="582"/>
      <c r="AG40" s="594"/>
      <c r="AH40" s="614"/>
      <c r="AI40" s="523"/>
      <c r="AJ40" s="615"/>
      <c r="AK40" s="615"/>
      <c r="AL40" s="615"/>
      <c r="AM40" s="615"/>
      <c r="AN40" s="615"/>
      <c r="AO40" s="616"/>
      <c r="AP40" s="338"/>
      <c r="AQ40" s="338"/>
      <c r="AR40" s="338"/>
      <c r="AS40" s="338"/>
      <c r="AT40" s="338"/>
    </row>
    <row r="41" spans="1:46" x14ac:dyDescent="0.55000000000000004">
      <c r="A41" s="61"/>
      <c r="B41" s="764" t="s">
        <v>779</v>
      </c>
      <c r="C41" s="61"/>
      <c r="D41" s="765"/>
      <c r="E41" s="766" t="s">
        <v>779</v>
      </c>
      <c r="F41" s="640"/>
      <c r="G41" s="779"/>
      <c r="H41" s="768"/>
      <c r="I41" s="769" t="s">
        <v>152</v>
      </c>
      <c r="J41" s="797" t="s">
        <v>151</v>
      </c>
      <c r="K41" s="780" t="s">
        <v>122</v>
      </c>
      <c r="L41" s="771" t="s">
        <v>118</v>
      </c>
      <c r="M41" s="772"/>
      <c r="N41" s="772"/>
      <c r="O41" s="773"/>
      <c r="P41" s="774"/>
      <c r="Q41" s="784"/>
      <c r="R41" s="775" t="s">
        <v>779</v>
      </c>
      <c r="S41" s="783"/>
      <c r="T41" s="776"/>
      <c r="U41" s="777"/>
      <c r="V41" s="778" t="s">
        <v>779</v>
      </c>
      <c r="W41" s="742"/>
      <c r="X41" s="7"/>
      <c r="Y41" s="570"/>
      <c r="Z41" s="533"/>
      <c r="AA41" s="617"/>
      <c r="AB41" s="611"/>
      <c r="AC41" s="612"/>
      <c r="AD41" s="613"/>
      <c r="AE41" s="612"/>
      <c r="AF41" s="582"/>
      <c r="AG41" s="594"/>
      <c r="AH41" s="614"/>
      <c r="AI41" s="614"/>
      <c r="AJ41" s="615"/>
      <c r="AK41" s="615"/>
      <c r="AL41" s="615"/>
      <c r="AM41" s="615"/>
      <c r="AN41" s="615"/>
      <c r="AO41" s="616"/>
      <c r="AP41" s="338"/>
      <c r="AQ41" s="338"/>
      <c r="AR41" s="338"/>
      <c r="AS41" s="338"/>
      <c r="AT41" s="338"/>
    </row>
    <row r="42" spans="1:46" x14ac:dyDescent="0.55000000000000004">
      <c r="A42" s="61"/>
      <c r="B42" s="764" t="s">
        <v>779</v>
      </c>
      <c r="C42" s="61"/>
      <c r="D42" s="765"/>
      <c r="E42" s="766" t="s">
        <v>779</v>
      </c>
      <c r="F42" s="640"/>
      <c r="G42" s="767"/>
      <c r="H42" s="782"/>
      <c r="I42" s="769" t="s">
        <v>154</v>
      </c>
      <c r="J42" s="797" t="s">
        <v>153</v>
      </c>
      <c r="K42" s="780" t="s">
        <v>122</v>
      </c>
      <c r="L42" s="771" t="s">
        <v>407</v>
      </c>
      <c r="M42" s="772" t="s">
        <v>580</v>
      </c>
      <c r="N42" s="781">
        <v>44075</v>
      </c>
      <c r="O42" s="773"/>
      <c r="P42" s="774"/>
      <c r="Q42" s="784"/>
      <c r="R42" s="775" t="s">
        <v>779</v>
      </c>
      <c r="S42" s="783"/>
      <c r="T42" s="776"/>
      <c r="U42" s="777"/>
      <c r="V42" s="778" t="s">
        <v>779</v>
      </c>
      <c r="W42" s="742"/>
      <c r="X42" s="7"/>
      <c r="Y42" s="570"/>
      <c r="Z42" s="533"/>
      <c r="AA42" s="617"/>
      <c r="AB42" s="611"/>
      <c r="AC42" s="612"/>
      <c r="AD42" s="613"/>
      <c r="AE42" s="612"/>
      <c r="AF42" s="582"/>
      <c r="AG42" s="594"/>
      <c r="AH42" s="614"/>
      <c r="AI42" s="523"/>
      <c r="AJ42" s="615"/>
      <c r="AK42" s="615"/>
      <c r="AL42" s="615"/>
      <c r="AM42" s="615"/>
      <c r="AN42" s="615"/>
      <c r="AO42" s="616"/>
      <c r="AP42" s="338"/>
      <c r="AQ42" s="338"/>
      <c r="AR42" s="338"/>
      <c r="AS42" s="338"/>
      <c r="AT42" s="338"/>
    </row>
    <row r="43" spans="1:46" ht="14.4" customHeight="1" x14ac:dyDescent="0.55000000000000004">
      <c r="A43" s="61"/>
      <c r="B43" s="764" t="s">
        <v>779</v>
      </c>
      <c r="C43" s="61"/>
      <c r="D43" s="765"/>
      <c r="E43" s="766" t="s">
        <v>779</v>
      </c>
      <c r="F43" s="640"/>
      <c r="G43" s="779"/>
      <c r="H43" s="768"/>
      <c r="I43" s="769" t="s">
        <v>156</v>
      </c>
      <c r="J43" s="797" t="s">
        <v>155</v>
      </c>
      <c r="K43" s="780" t="s">
        <v>122</v>
      </c>
      <c r="L43" s="771" t="s">
        <v>118</v>
      </c>
      <c r="M43" s="772"/>
      <c r="N43" s="772"/>
      <c r="O43" s="773"/>
      <c r="P43" s="774"/>
      <c r="Q43" s="784" t="s">
        <v>76</v>
      </c>
      <c r="R43" s="775">
        <v>44067.8</v>
      </c>
      <c r="S43" s="783" t="s">
        <v>95</v>
      </c>
      <c r="T43" s="776"/>
      <c r="U43" s="777"/>
      <c r="V43" s="778" t="s">
        <v>76</v>
      </c>
      <c r="W43" s="742"/>
      <c r="X43" s="7"/>
      <c r="Y43" s="570"/>
      <c r="Z43" s="533"/>
      <c r="AA43" s="617"/>
      <c r="AB43" s="611"/>
      <c r="AC43" s="612"/>
      <c r="AD43" s="613"/>
      <c r="AE43" s="612"/>
      <c r="AF43" s="582"/>
      <c r="AG43" s="594"/>
      <c r="AH43" s="614"/>
      <c r="AI43" s="614"/>
      <c r="AJ43" s="615"/>
      <c r="AK43" s="615"/>
      <c r="AL43" s="615"/>
      <c r="AM43" s="615"/>
      <c r="AN43" s="615"/>
      <c r="AO43" s="616"/>
      <c r="AP43" s="338"/>
      <c r="AQ43" s="338"/>
      <c r="AR43" s="338"/>
      <c r="AS43" s="338"/>
      <c r="AT43" s="338"/>
    </row>
    <row r="44" spans="1:46" ht="15.3" customHeight="1" x14ac:dyDescent="0.55000000000000004">
      <c r="A44" s="61"/>
      <c r="B44" s="764" t="s">
        <v>779</v>
      </c>
      <c r="C44" s="61"/>
      <c r="D44" s="765"/>
      <c r="E44" s="766" t="s">
        <v>779</v>
      </c>
      <c r="F44" s="640"/>
      <c r="G44" s="779"/>
      <c r="H44" s="768"/>
      <c r="I44" s="769" t="s">
        <v>367</v>
      </c>
      <c r="J44" s="797" t="s">
        <v>157</v>
      </c>
      <c r="K44" s="780" t="s">
        <v>122</v>
      </c>
      <c r="L44" s="771" t="s">
        <v>118</v>
      </c>
      <c r="M44" s="772"/>
      <c r="N44" s="772"/>
      <c r="O44" s="773"/>
      <c r="P44" s="774"/>
      <c r="Q44" s="784"/>
      <c r="R44" s="775" t="s">
        <v>779</v>
      </c>
      <c r="S44" s="783"/>
      <c r="T44" s="776"/>
      <c r="U44" s="777"/>
      <c r="V44" s="778"/>
      <c r="W44" s="742"/>
      <c r="X44" s="7"/>
      <c r="Y44" s="570"/>
      <c r="Z44" s="533"/>
      <c r="AA44" s="617"/>
      <c r="AB44" s="611"/>
      <c r="AC44" s="612"/>
      <c r="AD44" s="613"/>
      <c r="AE44" s="612"/>
      <c r="AF44" s="582"/>
      <c r="AG44" s="594"/>
      <c r="AH44" s="614"/>
      <c r="AI44" s="523"/>
      <c r="AJ44" s="615"/>
      <c r="AK44" s="615"/>
      <c r="AL44" s="615"/>
      <c r="AM44" s="615"/>
      <c r="AN44" s="615"/>
      <c r="AO44" s="616"/>
      <c r="AP44" s="338"/>
      <c r="AQ44" s="338"/>
      <c r="AR44" s="338"/>
      <c r="AS44" s="338"/>
      <c r="AT44" s="338"/>
    </row>
    <row r="45" spans="1:46" x14ac:dyDescent="0.55000000000000004">
      <c r="A45" s="61"/>
      <c r="B45" s="764" t="s">
        <v>779</v>
      </c>
      <c r="C45" s="61"/>
      <c r="D45" s="765"/>
      <c r="E45" s="766" t="s">
        <v>779</v>
      </c>
      <c r="F45" s="640"/>
      <c r="G45" s="779"/>
      <c r="H45" s="768"/>
      <c r="I45" s="769" t="s">
        <v>159</v>
      </c>
      <c r="J45" s="797" t="s">
        <v>158</v>
      </c>
      <c r="K45" s="780" t="s">
        <v>122</v>
      </c>
      <c r="L45" s="771" t="s">
        <v>118</v>
      </c>
      <c r="M45" s="772" t="s">
        <v>249</v>
      </c>
      <c r="N45" s="781">
        <v>44044</v>
      </c>
      <c r="O45" s="773"/>
      <c r="P45" s="774"/>
      <c r="Q45" s="784"/>
      <c r="R45" s="775" t="s">
        <v>779</v>
      </c>
      <c r="S45" s="783"/>
      <c r="T45" s="776"/>
      <c r="U45" s="777"/>
      <c r="V45" s="778"/>
      <c r="W45" s="742"/>
      <c r="X45" s="7"/>
      <c r="Y45" s="570"/>
      <c r="Z45" s="533"/>
      <c r="AA45" s="617"/>
      <c r="AB45" s="611"/>
      <c r="AC45" s="612"/>
      <c r="AD45" s="613"/>
      <c r="AE45" s="612"/>
      <c r="AF45" s="582"/>
      <c r="AG45" s="594"/>
      <c r="AH45" s="614"/>
      <c r="AI45" s="614"/>
      <c r="AJ45" s="615"/>
      <c r="AK45" s="615"/>
      <c r="AL45" s="615"/>
      <c r="AM45" s="615"/>
      <c r="AN45" s="615"/>
      <c r="AO45" s="616"/>
      <c r="AP45" s="338"/>
      <c r="AQ45" s="338"/>
      <c r="AR45" s="338"/>
      <c r="AS45" s="338"/>
      <c r="AT45" s="338"/>
    </row>
    <row r="46" spans="1:46" x14ac:dyDescent="0.55000000000000004">
      <c r="A46" s="61"/>
      <c r="B46" s="764" t="s">
        <v>779</v>
      </c>
      <c r="C46" s="61"/>
      <c r="D46" s="765"/>
      <c r="E46" s="766" t="s">
        <v>779</v>
      </c>
      <c r="F46" s="640"/>
      <c r="G46" s="779"/>
      <c r="H46" s="768"/>
      <c r="I46" s="769" t="s">
        <v>370</v>
      </c>
      <c r="J46" s="797" t="s">
        <v>160</v>
      </c>
      <c r="K46" s="780" t="s">
        <v>122</v>
      </c>
      <c r="L46" s="771" t="s">
        <v>118</v>
      </c>
      <c r="M46" s="772"/>
      <c r="N46" s="781"/>
      <c r="O46" s="773"/>
      <c r="P46" s="774"/>
      <c r="Q46" s="784"/>
      <c r="R46" s="775" t="s">
        <v>779</v>
      </c>
      <c r="S46" s="783"/>
      <c r="T46" s="776"/>
      <c r="U46" s="777"/>
      <c r="V46" s="778"/>
      <c r="W46" s="742"/>
      <c r="X46" s="7"/>
      <c r="Y46" s="570"/>
      <c r="Z46" s="533"/>
      <c r="AA46" s="617"/>
      <c r="AB46" s="611"/>
      <c r="AC46" s="612"/>
      <c r="AD46" s="613"/>
      <c r="AE46" s="612"/>
      <c r="AF46" s="582"/>
      <c r="AG46" s="594"/>
      <c r="AH46" s="614"/>
      <c r="AI46" s="523"/>
      <c r="AJ46" s="615"/>
      <c r="AK46" s="615"/>
      <c r="AL46" s="615"/>
      <c r="AM46" s="615"/>
      <c r="AN46" s="615"/>
      <c r="AO46" s="616"/>
      <c r="AP46" s="338"/>
      <c r="AQ46" s="338"/>
      <c r="AR46" s="338"/>
      <c r="AS46" s="338"/>
      <c r="AT46" s="338"/>
    </row>
    <row r="47" spans="1:46" x14ac:dyDescent="0.55000000000000004">
      <c r="A47" s="61"/>
      <c r="B47" s="764" t="s">
        <v>779</v>
      </c>
      <c r="C47" s="61"/>
      <c r="D47" s="765"/>
      <c r="E47" s="766" t="s">
        <v>779</v>
      </c>
      <c r="F47" s="640"/>
      <c r="G47" s="779"/>
      <c r="H47" s="768"/>
      <c r="I47" s="769" t="s">
        <v>148</v>
      </c>
      <c r="J47" s="797" t="s">
        <v>161</v>
      </c>
      <c r="K47" s="780" t="s">
        <v>125</v>
      </c>
      <c r="L47" s="771" t="s">
        <v>118</v>
      </c>
      <c r="M47" s="772"/>
      <c r="N47" s="781"/>
      <c r="O47" s="773"/>
      <c r="P47" s="774"/>
      <c r="Q47" s="784"/>
      <c r="R47" s="775" t="s">
        <v>779</v>
      </c>
      <c r="S47" s="783" t="s">
        <v>779</v>
      </c>
      <c r="T47" s="776"/>
      <c r="U47" s="777"/>
      <c r="V47" s="778" t="s">
        <v>779</v>
      </c>
      <c r="W47" s="742"/>
      <c r="X47" s="7"/>
      <c r="Y47" s="570"/>
      <c r="Z47" s="533"/>
      <c r="AA47" s="617"/>
      <c r="AB47" s="611"/>
      <c r="AC47" s="612"/>
      <c r="AD47" s="613"/>
      <c r="AE47" s="612"/>
      <c r="AF47" s="582"/>
      <c r="AG47" s="594"/>
      <c r="AH47" s="614"/>
      <c r="AI47" s="614"/>
      <c r="AJ47" s="615"/>
      <c r="AK47" s="615"/>
      <c r="AL47" s="615"/>
      <c r="AM47" s="615"/>
      <c r="AN47" s="615"/>
      <c r="AO47" s="616"/>
      <c r="AP47" s="338"/>
      <c r="AQ47" s="338"/>
      <c r="AR47" s="338"/>
      <c r="AS47" s="338"/>
      <c r="AT47" s="338"/>
    </row>
    <row r="48" spans="1:46" x14ac:dyDescent="0.55000000000000004">
      <c r="A48" s="61"/>
      <c r="B48" s="764" t="s">
        <v>779</v>
      </c>
      <c r="C48" s="61"/>
      <c r="D48" s="765"/>
      <c r="E48" s="766" t="s">
        <v>779</v>
      </c>
      <c r="F48" s="640"/>
      <c r="G48" s="779"/>
      <c r="H48" s="768"/>
      <c r="I48" s="769" t="s">
        <v>163</v>
      </c>
      <c r="J48" s="797" t="s">
        <v>162</v>
      </c>
      <c r="K48" s="780" t="s">
        <v>125</v>
      </c>
      <c r="L48" s="771" t="s">
        <v>118</v>
      </c>
      <c r="M48" s="772"/>
      <c r="N48" s="781"/>
      <c r="O48" s="773"/>
      <c r="P48" s="774"/>
      <c r="Q48" s="784"/>
      <c r="R48" s="775" t="s">
        <v>779</v>
      </c>
      <c r="S48" s="783"/>
      <c r="T48" s="776"/>
      <c r="U48" s="777"/>
      <c r="V48" s="778"/>
      <c r="W48" s="742"/>
      <c r="X48" s="7"/>
      <c r="Y48" s="570"/>
      <c r="Z48" s="533"/>
      <c r="AA48" s="617"/>
      <c r="AB48" s="611"/>
      <c r="AC48" s="612"/>
      <c r="AD48" s="613"/>
      <c r="AE48" s="612"/>
      <c r="AF48" s="582"/>
      <c r="AG48" s="594"/>
      <c r="AH48" s="614"/>
      <c r="AI48" s="523"/>
      <c r="AJ48" s="615"/>
      <c r="AK48" s="615"/>
      <c r="AL48" s="615"/>
      <c r="AM48" s="615"/>
      <c r="AN48" s="615"/>
      <c r="AO48" s="616"/>
      <c r="AP48" s="338"/>
      <c r="AQ48" s="338"/>
      <c r="AR48" s="338"/>
      <c r="AS48" s="338"/>
      <c r="AT48" s="338"/>
    </row>
    <row r="49" spans="1:46" x14ac:dyDescent="0.55000000000000004">
      <c r="A49" s="61"/>
      <c r="B49" s="764" t="s">
        <v>779</v>
      </c>
      <c r="C49" s="61"/>
      <c r="D49" s="765"/>
      <c r="E49" s="766" t="s">
        <v>779</v>
      </c>
      <c r="F49" s="640"/>
      <c r="G49" s="779"/>
      <c r="H49" s="768"/>
      <c r="I49" s="769" t="s">
        <v>369</v>
      </c>
      <c r="J49" s="797" t="s">
        <v>164</v>
      </c>
      <c r="K49" s="780" t="s">
        <v>125</v>
      </c>
      <c r="L49" s="771" t="s">
        <v>112</v>
      </c>
      <c r="M49" s="772" t="s">
        <v>257</v>
      </c>
      <c r="N49" s="781">
        <v>44105</v>
      </c>
      <c r="O49" s="773"/>
      <c r="P49" s="774"/>
      <c r="Q49" s="784"/>
      <c r="R49" s="775" t="s">
        <v>779</v>
      </c>
      <c r="S49" s="783"/>
      <c r="T49" s="776"/>
      <c r="U49" s="777"/>
      <c r="V49" s="778"/>
      <c r="W49" s="742"/>
      <c r="X49" s="7"/>
      <c r="Y49" s="570"/>
      <c r="Z49" s="533"/>
      <c r="AA49" s="617"/>
      <c r="AB49" s="611"/>
      <c r="AC49" s="612"/>
      <c r="AD49" s="613"/>
      <c r="AE49" s="612"/>
      <c r="AF49" s="582"/>
      <c r="AG49" s="594"/>
      <c r="AH49" s="614"/>
      <c r="AI49" s="614"/>
      <c r="AJ49" s="615"/>
      <c r="AK49" s="615"/>
      <c r="AL49" s="615"/>
      <c r="AM49" s="615"/>
      <c r="AN49" s="615"/>
      <c r="AO49" s="616"/>
      <c r="AP49" s="338"/>
      <c r="AQ49" s="338"/>
      <c r="AR49" s="338"/>
      <c r="AS49" s="338"/>
      <c r="AT49" s="338"/>
    </row>
    <row r="50" spans="1:46" x14ac:dyDescent="0.55000000000000004">
      <c r="A50" s="61"/>
      <c r="B50" s="764" t="s">
        <v>779</v>
      </c>
      <c r="C50" s="61"/>
      <c r="D50" s="765"/>
      <c r="E50" s="766" t="s">
        <v>779</v>
      </c>
      <c r="F50" s="640"/>
      <c r="G50" s="779"/>
      <c r="H50" s="768"/>
      <c r="I50" s="769" t="s">
        <v>143</v>
      </c>
      <c r="J50" s="797" t="s">
        <v>165</v>
      </c>
      <c r="K50" s="780" t="s">
        <v>125</v>
      </c>
      <c r="L50" s="771" t="s">
        <v>118</v>
      </c>
      <c r="M50" s="772"/>
      <c r="N50" s="772"/>
      <c r="O50" s="773"/>
      <c r="P50" s="774"/>
      <c r="Q50" s="784"/>
      <c r="R50" s="775" t="s">
        <v>779</v>
      </c>
      <c r="S50" s="783" t="s">
        <v>779</v>
      </c>
      <c r="T50" s="776"/>
      <c r="U50" s="777"/>
      <c r="V50" s="778" t="s">
        <v>779</v>
      </c>
      <c r="W50" s="742"/>
      <c r="X50" s="7"/>
      <c r="Y50" s="570"/>
      <c r="Z50" s="533"/>
      <c r="AA50" s="617"/>
      <c r="AB50" s="611"/>
      <c r="AC50" s="612"/>
      <c r="AD50" s="613"/>
      <c r="AE50" s="612"/>
      <c r="AF50" s="582"/>
      <c r="AG50" s="594"/>
      <c r="AH50" s="614"/>
      <c r="AI50" s="523"/>
      <c r="AJ50" s="615"/>
      <c r="AK50" s="615"/>
      <c r="AL50" s="615"/>
      <c r="AM50" s="615"/>
      <c r="AN50" s="615"/>
      <c r="AO50" s="616"/>
      <c r="AP50" s="338"/>
      <c r="AQ50" s="338"/>
      <c r="AR50" s="338"/>
      <c r="AS50" s="338"/>
      <c r="AT50" s="338"/>
    </row>
    <row r="51" spans="1:46" x14ac:dyDescent="0.55000000000000004">
      <c r="A51" s="61"/>
      <c r="B51" s="764" t="s">
        <v>779</v>
      </c>
      <c r="C51" s="61"/>
      <c r="D51" s="765"/>
      <c r="E51" s="766" t="s">
        <v>779</v>
      </c>
      <c r="F51" s="640"/>
      <c r="G51" s="779"/>
      <c r="H51" s="768"/>
      <c r="I51" s="769" t="s">
        <v>135</v>
      </c>
      <c r="J51" s="797" t="s">
        <v>166</v>
      </c>
      <c r="K51" s="780" t="s">
        <v>125</v>
      </c>
      <c r="L51" s="771" t="s">
        <v>118</v>
      </c>
      <c r="M51" s="772"/>
      <c r="N51" s="781"/>
      <c r="O51" s="773"/>
      <c r="P51" s="774"/>
      <c r="Q51" s="784" t="s">
        <v>76</v>
      </c>
      <c r="R51" s="775">
        <v>44098.2</v>
      </c>
      <c r="S51" s="783" t="s">
        <v>95</v>
      </c>
      <c r="T51" s="776"/>
      <c r="U51" s="777"/>
      <c r="V51" s="778" t="s">
        <v>76</v>
      </c>
      <c r="W51" s="742"/>
      <c r="X51" s="7"/>
      <c r="Y51" s="570"/>
      <c r="Z51" s="533"/>
      <c r="AA51" s="617"/>
      <c r="AB51" s="611"/>
      <c r="AC51" s="612"/>
      <c r="AD51" s="613"/>
      <c r="AE51" s="612"/>
      <c r="AF51" s="582"/>
      <c r="AG51" s="594"/>
      <c r="AH51" s="614"/>
      <c r="AI51" s="614"/>
      <c r="AJ51" s="615"/>
      <c r="AK51" s="615"/>
      <c r="AL51" s="615"/>
      <c r="AM51" s="615"/>
      <c r="AN51" s="615"/>
      <c r="AO51" s="616"/>
      <c r="AP51" s="338"/>
      <c r="AQ51" s="338"/>
      <c r="AR51" s="338"/>
      <c r="AS51" s="338"/>
      <c r="AT51" s="338"/>
    </row>
    <row r="52" spans="1:46" x14ac:dyDescent="0.55000000000000004">
      <c r="A52" s="61"/>
      <c r="B52" s="764" t="s">
        <v>779</v>
      </c>
      <c r="C52" s="61"/>
      <c r="D52" s="765"/>
      <c r="E52" s="766" t="s">
        <v>779</v>
      </c>
      <c r="F52" s="640"/>
      <c r="G52" s="779"/>
      <c r="H52" s="768"/>
      <c r="I52" s="769" t="s">
        <v>168</v>
      </c>
      <c r="J52" s="797" t="s">
        <v>167</v>
      </c>
      <c r="K52" s="780" t="s">
        <v>123</v>
      </c>
      <c r="L52" s="771" t="s">
        <v>112</v>
      </c>
      <c r="M52" s="772" t="s">
        <v>257</v>
      </c>
      <c r="N52" s="781">
        <v>44136</v>
      </c>
      <c r="O52" s="773"/>
      <c r="P52" s="774"/>
      <c r="Q52" s="784" t="s">
        <v>76</v>
      </c>
      <c r="R52" s="775">
        <v>44037.4</v>
      </c>
      <c r="S52" s="783" t="s">
        <v>95</v>
      </c>
      <c r="T52" s="776"/>
      <c r="U52" s="777"/>
      <c r="V52" s="778" t="s">
        <v>76</v>
      </c>
      <c r="W52" s="742"/>
      <c r="X52" s="7"/>
      <c r="Y52" s="570"/>
      <c r="Z52" s="533"/>
      <c r="AA52" s="617"/>
      <c r="AB52" s="611"/>
      <c r="AC52" s="612"/>
      <c r="AD52" s="613"/>
      <c r="AE52" s="612"/>
      <c r="AF52" s="582"/>
      <c r="AG52" s="594"/>
      <c r="AH52" s="614"/>
      <c r="AI52" s="523"/>
      <c r="AJ52" s="615"/>
      <c r="AK52" s="615"/>
      <c r="AL52" s="615"/>
      <c r="AM52" s="615"/>
      <c r="AN52" s="615"/>
      <c r="AO52" s="616"/>
      <c r="AP52" s="338"/>
      <c r="AQ52" s="338"/>
      <c r="AR52" s="338"/>
      <c r="AS52" s="338"/>
      <c r="AT52" s="338"/>
    </row>
    <row r="53" spans="1:46" x14ac:dyDescent="0.55000000000000004">
      <c r="A53" s="61"/>
      <c r="B53" s="764" t="s">
        <v>779</v>
      </c>
      <c r="C53" s="61"/>
      <c r="D53" s="765"/>
      <c r="E53" s="766" t="s">
        <v>779</v>
      </c>
      <c r="F53" s="640"/>
      <c r="G53" s="779"/>
      <c r="H53" s="768"/>
      <c r="I53" s="769" t="s">
        <v>170</v>
      </c>
      <c r="J53" s="797" t="s">
        <v>169</v>
      </c>
      <c r="K53" s="780" t="s">
        <v>123</v>
      </c>
      <c r="L53" s="771" t="s">
        <v>118</v>
      </c>
      <c r="M53" s="772"/>
      <c r="N53" s="772"/>
      <c r="O53" s="773"/>
      <c r="P53" s="774"/>
      <c r="Q53" s="784"/>
      <c r="R53" s="775" t="s">
        <v>779</v>
      </c>
      <c r="S53" s="783" t="s">
        <v>779</v>
      </c>
      <c r="T53" s="776"/>
      <c r="U53" s="777"/>
      <c r="V53" s="778" t="s">
        <v>779</v>
      </c>
      <c r="W53" s="742"/>
      <c r="X53" s="7"/>
      <c r="Y53" s="570"/>
      <c r="Z53" s="533"/>
      <c r="AA53" s="617"/>
      <c r="AB53" s="611"/>
      <c r="AC53" s="612"/>
      <c r="AD53" s="613"/>
      <c r="AE53" s="612"/>
      <c r="AF53" s="582"/>
      <c r="AG53" s="594"/>
      <c r="AH53" s="614"/>
      <c r="AI53" s="614"/>
      <c r="AJ53" s="615"/>
      <c r="AK53" s="615"/>
      <c r="AL53" s="615"/>
      <c r="AM53" s="615"/>
      <c r="AN53" s="615"/>
      <c r="AO53" s="616"/>
      <c r="AP53" s="338"/>
      <c r="AQ53" s="338"/>
      <c r="AR53" s="338"/>
      <c r="AS53" s="338"/>
      <c r="AT53" s="338"/>
    </row>
    <row r="54" spans="1:46" x14ac:dyDescent="0.55000000000000004">
      <c r="A54" s="61"/>
      <c r="B54" s="764" t="s">
        <v>779</v>
      </c>
      <c r="C54" s="61"/>
      <c r="D54" s="765"/>
      <c r="E54" s="766" t="s">
        <v>779</v>
      </c>
      <c r="F54" s="640"/>
      <c r="G54" s="779"/>
      <c r="H54" s="768"/>
      <c r="I54" s="769" t="s">
        <v>172</v>
      </c>
      <c r="J54" s="797" t="s">
        <v>171</v>
      </c>
      <c r="K54" s="780" t="s">
        <v>123</v>
      </c>
      <c r="L54" s="771" t="s">
        <v>112</v>
      </c>
      <c r="M54" s="772" t="s">
        <v>257</v>
      </c>
      <c r="N54" s="781">
        <v>44075</v>
      </c>
      <c r="O54" s="773"/>
      <c r="P54" s="774"/>
      <c r="Q54" s="784"/>
      <c r="R54" s="775" t="s">
        <v>779</v>
      </c>
      <c r="S54" s="783"/>
      <c r="T54" s="776"/>
      <c r="U54" s="777"/>
      <c r="V54" s="778"/>
      <c r="W54" s="742"/>
      <c r="X54" s="7"/>
      <c r="Y54" s="570"/>
      <c r="Z54" s="533"/>
      <c r="AA54" s="617"/>
      <c r="AB54" s="611"/>
      <c r="AC54" s="612"/>
      <c r="AD54" s="613"/>
      <c r="AE54" s="612"/>
      <c r="AF54" s="582"/>
      <c r="AG54" s="594"/>
      <c r="AH54" s="614"/>
      <c r="AI54" s="523"/>
      <c r="AJ54" s="615"/>
      <c r="AK54" s="615"/>
      <c r="AL54" s="615"/>
      <c r="AM54" s="615"/>
      <c r="AN54" s="615"/>
      <c r="AO54" s="616"/>
      <c r="AP54" s="338"/>
      <c r="AQ54" s="338"/>
      <c r="AR54" s="338"/>
      <c r="AS54" s="338"/>
      <c r="AT54" s="338"/>
    </row>
    <row r="55" spans="1:46" x14ac:dyDescent="0.55000000000000004">
      <c r="A55" s="61"/>
      <c r="B55" s="764" t="s">
        <v>779</v>
      </c>
      <c r="C55" s="61"/>
      <c r="D55" s="765"/>
      <c r="E55" s="766" t="s">
        <v>779</v>
      </c>
      <c r="F55" s="640"/>
      <c r="G55" s="779"/>
      <c r="H55" s="768"/>
      <c r="I55" s="769" t="s">
        <v>174</v>
      </c>
      <c r="J55" s="797" t="s">
        <v>173</v>
      </c>
      <c r="K55" s="780" t="s">
        <v>123</v>
      </c>
      <c r="L55" s="771" t="s">
        <v>118</v>
      </c>
      <c r="M55" s="772"/>
      <c r="N55" s="772"/>
      <c r="O55" s="773"/>
      <c r="P55" s="774"/>
      <c r="Q55" s="784"/>
      <c r="R55" s="775" t="s">
        <v>779</v>
      </c>
      <c r="S55" s="783" t="s">
        <v>779</v>
      </c>
      <c r="T55" s="776"/>
      <c r="U55" s="777"/>
      <c r="V55" s="778" t="s">
        <v>779</v>
      </c>
      <c r="W55" s="742"/>
      <c r="X55" s="7"/>
      <c r="Y55" s="570"/>
      <c r="Z55" s="533"/>
      <c r="AA55" s="617"/>
      <c r="AB55" s="611"/>
      <c r="AC55" s="612"/>
      <c r="AD55" s="613"/>
      <c r="AE55" s="612"/>
      <c r="AF55" s="582"/>
      <c r="AG55" s="594"/>
      <c r="AH55" s="614"/>
      <c r="AI55" s="614"/>
      <c r="AJ55" s="615"/>
      <c r="AK55" s="615"/>
      <c r="AL55" s="615"/>
      <c r="AM55" s="615"/>
      <c r="AN55" s="615"/>
      <c r="AO55" s="616"/>
      <c r="AP55" s="338"/>
      <c r="AQ55" s="338"/>
      <c r="AR55" s="338"/>
      <c r="AS55" s="338"/>
      <c r="AT55" s="338"/>
    </row>
    <row r="56" spans="1:46" x14ac:dyDescent="0.55000000000000004">
      <c r="A56" s="61"/>
      <c r="B56" s="764" t="s">
        <v>779</v>
      </c>
      <c r="C56" s="61"/>
      <c r="D56" s="765"/>
      <c r="E56" s="766" t="s">
        <v>779</v>
      </c>
      <c r="F56" s="640"/>
      <c r="G56" s="779"/>
      <c r="H56" s="768"/>
      <c r="I56" s="769" t="s">
        <v>367</v>
      </c>
      <c r="J56" s="797" t="s">
        <v>175</v>
      </c>
      <c r="K56" s="780" t="s">
        <v>123</v>
      </c>
      <c r="L56" s="771" t="s">
        <v>118</v>
      </c>
      <c r="M56" s="772"/>
      <c r="N56" s="772"/>
      <c r="O56" s="773"/>
      <c r="P56" s="774"/>
      <c r="Q56" s="784" t="s">
        <v>76</v>
      </c>
      <c r="R56" s="775">
        <v>44067.8</v>
      </c>
      <c r="S56" s="783" t="s">
        <v>76</v>
      </c>
      <c r="T56" s="776"/>
      <c r="U56" s="777"/>
      <c r="V56" s="778"/>
      <c r="W56" s="742"/>
      <c r="X56" s="7"/>
      <c r="Y56" s="570"/>
      <c r="Z56" s="533"/>
      <c r="AA56" s="617"/>
      <c r="AB56" s="611"/>
      <c r="AC56" s="612"/>
      <c r="AD56" s="613"/>
      <c r="AE56" s="612"/>
      <c r="AF56" s="582"/>
      <c r="AG56" s="594"/>
      <c r="AH56" s="614"/>
      <c r="AI56" s="523"/>
      <c r="AJ56" s="615"/>
      <c r="AK56" s="615"/>
      <c r="AL56" s="615"/>
      <c r="AM56" s="615"/>
      <c r="AN56" s="615"/>
      <c r="AO56" s="616"/>
      <c r="AP56" s="338"/>
      <c r="AQ56" s="338"/>
      <c r="AR56" s="338"/>
      <c r="AS56" s="338"/>
      <c r="AT56" s="338"/>
    </row>
    <row r="57" spans="1:46" x14ac:dyDescent="0.55000000000000004">
      <c r="A57" s="61"/>
      <c r="B57" s="764" t="s">
        <v>779</v>
      </c>
      <c r="C57" s="61"/>
      <c r="D57" s="765"/>
      <c r="E57" s="766" t="s">
        <v>779</v>
      </c>
      <c r="F57" s="640"/>
      <c r="G57" s="779"/>
      <c r="H57" s="768"/>
      <c r="I57" s="769" t="s">
        <v>368</v>
      </c>
      <c r="J57" s="797" t="s">
        <v>176</v>
      </c>
      <c r="K57" s="780" t="s">
        <v>123</v>
      </c>
      <c r="L57" s="771" t="s">
        <v>118</v>
      </c>
      <c r="M57" s="772"/>
      <c r="N57" s="772"/>
      <c r="O57" s="773"/>
      <c r="P57" s="774"/>
      <c r="Q57" s="784"/>
      <c r="R57" s="775" t="s">
        <v>779</v>
      </c>
      <c r="S57" s="783" t="s">
        <v>779</v>
      </c>
      <c r="T57" s="776"/>
      <c r="U57" s="777"/>
      <c r="V57" s="778" t="s">
        <v>779</v>
      </c>
      <c r="W57" s="742"/>
      <c r="X57" s="7"/>
      <c r="Y57" s="570"/>
      <c r="Z57" s="533"/>
      <c r="AA57" s="617"/>
      <c r="AB57" s="611"/>
      <c r="AC57" s="612"/>
      <c r="AD57" s="613"/>
      <c r="AE57" s="612"/>
      <c r="AF57" s="582"/>
      <c r="AG57" s="594"/>
      <c r="AH57" s="614"/>
      <c r="AI57" s="614"/>
      <c r="AJ57" s="615"/>
      <c r="AK57" s="615"/>
      <c r="AL57" s="615"/>
      <c r="AM57" s="615"/>
      <c r="AN57" s="615"/>
      <c r="AO57" s="616"/>
      <c r="AP57" s="338"/>
      <c r="AQ57" s="338"/>
      <c r="AR57" s="338"/>
      <c r="AS57" s="338"/>
      <c r="AT57" s="338"/>
    </row>
    <row r="58" spans="1:46" x14ac:dyDescent="0.55000000000000004">
      <c r="A58" s="61"/>
      <c r="B58" s="764" t="s">
        <v>779</v>
      </c>
      <c r="C58" s="61"/>
      <c r="D58" s="765"/>
      <c r="E58" s="766" t="s">
        <v>779</v>
      </c>
      <c r="F58" s="640"/>
      <c r="G58" s="779"/>
      <c r="H58" s="768"/>
      <c r="I58" s="769" t="s">
        <v>178</v>
      </c>
      <c r="J58" s="797" t="s">
        <v>177</v>
      </c>
      <c r="K58" s="780" t="s">
        <v>120</v>
      </c>
      <c r="L58" s="771" t="s">
        <v>118</v>
      </c>
      <c r="M58" s="772"/>
      <c r="N58" s="772"/>
      <c r="O58" s="773"/>
      <c r="P58" s="774"/>
      <c r="Q58" s="784"/>
      <c r="R58" s="775" t="s">
        <v>779</v>
      </c>
      <c r="S58" s="783" t="s">
        <v>779</v>
      </c>
      <c r="T58" s="776"/>
      <c r="U58" s="777"/>
      <c r="V58" s="778" t="s">
        <v>779</v>
      </c>
      <c r="W58" s="742"/>
      <c r="X58" s="7"/>
      <c r="Y58" s="570"/>
      <c r="Z58" s="533"/>
      <c r="AA58" s="617"/>
      <c r="AB58" s="611"/>
      <c r="AC58" s="612"/>
      <c r="AD58" s="613"/>
      <c r="AE58" s="612"/>
      <c r="AF58" s="582"/>
      <c r="AG58" s="594"/>
      <c r="AH58" s="614"/>
      <c r="AI58" s="523"/>
      <c r="AJ58" s="615"/>
      <c r="AK58" s="615"/>
      <c r="AL58" s="615"/>
      <c r="AM58" s="615"/>
      <c r="AN58" s="615"/>
      <c r="AO58" s="616"/>
      <c r="AP58" s="338"/>
      <c r="AQ58" s="338"/>
      <c r="AR58" s="338"/>
      <c r="AS58" s="338"/>
      <c r="AT58" s="338"/>
    </row>
    <row r="59" spans="1:46" x14ac:dyDescent="0.55000000000000004">
      <c r="A59" s="61"/>
      <c r="B59" s="764" t="s">
        <v>779</v>
      </c>
      <c r="C59" s="61"/>
      <c r="D59" s="765"/>
      <c r="E59" s="766" t="s">
        <v>779</v>
      </c>
      <c r="F59" s="640"/>
      <c r="G59" s="779"/>
      <c r="H59" s="768"/>
      <c r="I59" s="769" t="s">
        <v>367</v>
      </c>
      <c r="J59" s="797" t="s">
        <v>179</v>
      </c>
      <c r="K59" s="780" t="s">
        <v>531</v>
      </c>
      <c r="L59" s="771" t="s">
        <v>118</v>
      </c>
      <c r="M59" s="772"/>
      <c r="N59" s="772"/>
      <c r="O59" s="773"/>
      <c r="P59" s="774"/>
      <c r="Q59" s="784"/>
      <c r="R59" s="775" t="s">
        <v>779</v>
      </c>
      <c r="S59" s="783" t="s">
        <v>779</v>
      </c>
      <c r="T59" s="776"/>
      <c r="U59" s="777"/>
      <c r="V59" s="778" t="s">
        <v>779</v>
      </c>
      <c r="W59" s="742"/>
      <c r="X59" s="7"/>
      <c r="Y59" s="570"/>
      <c r="Z59" s="533"/>
      <c r="AA59" s="617"/>
      <c r="AB59" s="611"/>
      <c r="AC59" s="612"/>
      <c r="AD59" s="613"/>
      <c r="AE59" s="612"/>
      <c r="AF59" s="582"/>
      <c r="AG59" s="594"/>
      <c r="AH59" s="614"/>
      <c r="AI59" s="614"/>
      <c r="AJ59" s="615"/>
      <c r="AK59" s="615"/>
      <c r="AL59" s="615"/>
      <c r="AM59" s="615"/>
      <c r="AN59" s="615"/>
      <c r="AO59" s="616"/>
      <c r="AP59" s="338"/>
      <c r="AQ59" s="338"/>
      <c r="AR59" s="338"/>
      <c r="AS59" s="338"/>
      <c r="AT59" s="338"/>
    </row>
    <row r="60" spans="1:46" x14ac:dyDescent="0.55000000000000004">
      <c r="A60" s="61"/>
      <c r="B60" s="764" t="s">
        <v>779</v>
      </c>
      <c r="C60" s="61"/>
      <c r="D60" s="765"/>
      <c r="E60" s="766" t="s">
        <v>779</v>
      </c>
      <c r="F60" s="640"/>
      <c r="G60" s="779"/>
      <c r="H60" s="768"/>
      <c r="I60" s="769" t="s">
        <v>181</v>
      </c>
      <c r="J60" s="797" t="s">
        <v>180</v>
      </c>
      <c r="K60" s="780" t="s">
        <v>531</v>
      </c>
      <c r="L60" s="771" t="s">
        <v>112</v>
      </c>
      <c r="M60" s="772" t="s">
        <v>257</v>
      </c>
      <c r="N60" s="781">
        <v>44075</v>
      </c>
      <c r="O60" s="773"/>
      <c r="P60" s="774"/>
      <c r="Q60" s="784"/>
      <c r="R60" s="775" t="s">
        <v>779</v>
      </c>
      <c r="S60" s="783"/>
      <c r="T60" s="776"/>
      <c r="U60" s="777"/>
      <c r="V60" s="778"/>
      <c r="W60" s="742"/>
      <c r="X60" s="7"/>
      <c r="Y60" s="570"/>
      <c r="Z60" s="533"/>
      <c r="AA60" s="617"/>
      <c r="AB60" s="611"/>
      <c r="AC60" s="612"/>
      <c r="AD60" s="613"/>
      <c r="AE60" s="612"/>
      <c r="AF60" s="582"/>
      <c r="AG60" s="594"/>
      <c r="AH60" s="614"/>
      <c r="AI60" s="523"/>
      <c r="AJ60" s="615"/>
      <c r="AK60" s="615"/>
      <c r="AL60" s="615"/>
      <c r="AM60" s="615"/>
      <c r="AN60" s="615"/>
      <c r="AO60" s="616"/>
      <c r="AP60" s="338"/>
      <c r="AQ60" s="338"/>
      <c r="AR60" s="338"/>
      <c r="AS60" s="338"/>
      <c r="AT60" s="338"/>
    </row>
    <row r="61" spans="1:46" x14ac:dyDescent="0.55000000000000004">
      <c r="A61" s="61"/>
      <c r="B61" s="764" t="s">
        <v>779</v>
      </c>
      <c r="C61" s="61"/>
      <c r="D61" s="765"/>
      <c r="E61" s="766" t="s">
        <v>779</v>
      </c>
      <c r="F61" s="640"/>
      <c r="G61" s="779"/>
      <c r="H61" s="768"/>
      <c r="I61" s="769" t="s">
        <v>183</v>
      </c>
      <c r="J61" s="797" t="s">
        <v>182</v>
      </c>
      <c r="K61" s="780" t="s">
        <v>531</v>
      </c>
      <c r="L61" s="771" t="s">
        <v>118</v>
      </c>
      <c r="M61" s="772"/>
      <c r="N61" s="772"/>
      <c r="O61" s="773"/>
      <c r="P61" s="774"/>
      <c r="Q61" s="784"/>
      <c r="R61" s="775" t="s">
        <v>779</v>
      </c>
      <c r="S61" s="783" t="s">
        <v>779</v>
      </c>
      <c r="T61" s="776"/>
      <c r="U61" s="777"/>
      <c r="V61" s="778" t="s">
        <v>779</v>
      </c>
      <c r="W61" s="742"/>
      <c r="X61" s="7"/>
      <c r="Y61" s="570"/>
      <c r="Z61" s="533"/>
      <c r="AA61" s="617"/>
      <c r="AB61" s="611"/>
      <c r="AC61" s="612"/>
      <c r="AD61" s="613"/>
      <c r="AE61" s="612"/>
      <c r="AF61" s="582"/>
      <c r="AG61" s="594"/>
      <c r="AH61" s="614"/>
      <c r="AI61" s="614"/>
      <c r="AJ61" s="615"/>
      <c r="AK61" s="615"/>
      <c r="AL61" s="615"/>
      <c r="AM61" s="615"/>
      <c r="AN61" s="615"/>
      <c r="AO61" s="616"/>
      <c r="AP61" s="338"/>
      <c r="AQ61" s="338"/>
      <c r="AR61" s="338"/>
      <c r="AS61" s="338"/>
      <c r="AT61" s="338"/>
    </row>
    <row r="62" spans="1:46" x14ac:dyDescent="0.55000000000000004">
      <c r="A62" s="61"/>
      <c r="B62" s="764" t="s">
        <v>779</v>
      </c>
      <c r="C62" s="61"/>
      <c r="D62" s="765"/>
      <c r="E62" s="766" t="s">
        <v>779</v>
      </c>
      <c r="F62" s="640"/>
      <c r="G62" s="779"/>
      <c r="H62" s="768"/>
      <c r="I62" s="769" t="s">
        <v>530</v>
      </c>
      <c r="J62" s="797" t="s">
        <v>184</v>
      </c>
      <c r="K62" s="780" t="s">
        <v>124</v>
      </c>
      <c r="L62" s="771" t="s">
        <v>118</v>
      </c>
      <c r="M62" s="772"/>
      <c r="N62" s="772"/>
      <c r="O62" s="773"/>
      <c r="P62" s="774"/>
      <c r="Q62" s="784"/>
      <c r="R62" s="775" t="s">
        <v>779</v>
      </c>
      <c r="S62" s="783" t="s">
        <v>779</v>
      </c>
      <c r="T62" s="776"/>
      <c r="U62" s="777"/>
      <c r="V62" s="778" t="s">
        <v>779</v>
      </c>
      <c r="W62" s="742"/>
      <c r="X62" s="7"/>
      <c r="Y62" s="570"/>
      <c r="Z62" s="533"/>
      <c r="AA62" s="617"/>
      <c r="AB62" s="611"/>
      <c r="AC62" s="612"/>
      <c r="AD62" s="613"/>
      <c r="AE62" s="612"/>
      <c r="AF62" s="582"/>
      <c r="AG62" s="594"/>
      <c r="AH62" s="614"/>
      <c r="AI62" s="523"/>
      <c r="AJ62" s="615"/>
      <c r="AK62" s="615"/>
      <c r="AL62" s="615"/>
      <c r="AM62" s="615"/>
      <c r="AN62" s="615"/>
      <c r="AO62" s="616"/>
      <c r="AP62" s="338"/>
      <c r="AQ62" s="338"/>
      <c r="AR62" s="338"/>
      <c r="AS62" s="338"/>
      <c r="AT62" s="338"/>
    </row>
    <row r="63" spans="1:46" x14ac:dyDescent="0.55000000000000004">
      <c r="A63" s="61"/>
      <c r="B63" s="764" t="s">
        <v>779</v>
      </c>
      <c r="C63" s="61"/>
      <c r="D63" s="765"/>
      <c r="E63" s="766" t="s">
        <v>779</v>
      </c>
      <c r="F63" s="640"/>
      <c r="G63" s="779"/>
      <c r="H63" s="768"/>
      <c r="I63" s="769" t="s">
        <v>410</v>
      </c>
      <c r="J63" s="797" t="s">
        <v>185</v>
      </c>
      <c r="K63" s="780" t="s">
        <v>124</v>
      </c>
      <c r="L63" s="771" t="s">
        <v>118</v>
      </c>
      <c r="M63" s="772"/>
      <c r="N63" s="772"/>
      <c r="O63" s="773"/>
      <c r="P63" s="774"/>
      <c r="Q63" s="784"/>
      <c r="R63" s="775" t="s">
        <v>779</v>
      </c>
      <c r="S63" s="783" t="s">
        <v>779</v>
      </c>
      <c r="T63" s="776"/>
      <c r="U63" s="777"/>
      <c r="V63" s="778" t="s">
        <v>779</v>
      </c>
      <c r="W63" s="742"/>
      <c r="X63" s="7"/>
      <c r="Y63" s="570"/>
      <c r="Z63" s="533"/>
      <c r="AA63" s="617"/>
      <c r="AB63" s="611"/>
      <c r="AC63" s="612"/>
      <c r="AD63" s="613"/>
      <c r="AE63" s="612"/>
      <c r="AF63" s="582"/>
      <c r="AG63" s="594"/>
      <c r="AH63" s="614"/>
      <c r="AI63" s="614"/>
      <c r="AJ63" s="615"/>
      <c r="AK63" s="615"/>
      <c r="AL63" s="615"/>
      <c r="AM63" s="615"/>
      <c r="AN63" s="615"/>
      <c r="AO63" s="616"/>
      <c r="AP63" s="338"/>
      <c r="AQ63" s="338"/>
      <c r="AR63" s="338"/>
      <c r="AS63" s="338"/>
      <c r="AT63" s="338"/>
    </row>
    <row r="64" spans="1:46" x14ac:dyDescent="0.55000000000000004">
      <c r="A64" s="61"/>
      <c r="B64" s="764" t="s">
        <v>779</v>
      </c>
      <c r="C64" s="61"/>
      <c r="D64" s="765"/>
      <c r="E64" s="766" t="s">
        <v>779</v>
      </c>
      <c r="F64" s="640"/>
      <c r="G64" s="779"/>
      <c r="H64" s="768"/>
      <c r="I64" s="769" t="s">
        <v>187</v>
      </c>
      <c r="J64" s="797" t="s">
        <v>186</v>
      </c>
      <c r="K64" s="780" t="s">
        <v>124</v>
      </c>
      <c r="L64" s="771" t="s">
        <v>112</v>
      </c>
      <c r="M64" s="772" t="s">
        <v>257</v>
      </c>
      <c r="N64" s="781">
        <v>44075</v>
      </c>
      <c r="O64" s="773"/>
      <c r="P64" s="774"/>
      <c r="Q64" s="784"/>
      <c r="R64" s="775" t="s">
        <v>779</v>
      </c>
      <c r="S64" s="783"/>
      <c r="T64" s="776"/>
      <c r="U64" s="777"/>
      <c r="V64" s="778"/>
      <c r="W64" s="742"/>
      <c r="X64" s="7"/>
      <c r="Y64" s="570"/>
      <c r="Z64" s="533"/>
      <c r="AA64" s="617"/>
      <c r="AB64" s="611"/>
      <c r="AC64" s="612"/>
      <c r="AD64" s="613"/>
      <c r="AE64" s="612"/>
      <c r="AF64" s="582"/>
      <c r="AG64" s="594"/>
      <c r="AH64" s="614"/>
      <c r="AI64" s="523"/>
      <c r="AJ64" s="615"/>
      <c r="AK64" s="615"/>
      <c r="AL64" s="615"/>
      <c r="AM64" s="615"/>
      <c r="AN64" s="615"/>
      <c r="AO64" s="616"/>
      <c r="AP64" s="338"/>
      <c r="AQ64" s="338"/>
      <c r="AR64" s="338"/>
      <c r="AS64" s="338"/>
      <c r="AT64" s="338"/>
    </row>
    <row r="65" spans="1:255" x14ac:dyDescent="0.55000000000000004">
      <c r="A65" s="61"/>
      <c r="B65" s="764" t="s">
        <v>779</v>
      </c>
      <c r="C65" s="61"/>
      <c r="D65" s="765"/>
      <c r="E65" s="766" t="s">
        <v>779</v>
      </c>
      <c r="F65" s="640"/>
      <c r="G65" s="779"/>
      <c r="H65" s="768"/>
      <c r="I65" s="769" t="s">
        <v>189</v>
      </c>
      <c r="J65" s="797" t="s">
        <v>188</v>
      </c>
      <c r="K65" s="780" t="s">
        <v>124</v>
      </c>
      <c r="L65" s="771" t="s">
        <v>118</v>
      </c>
      <c r="M65" s="772"/>
      <c r="N65" s="781"/>
      <c r="O65" s="773"/>
      <c r="P65" s="774"/>
      <c r="Q65" s="784"/>
      <c r="R65" s="775" t="s">
        <v>779</v>
      </c>
      <c r="S65" s="783" t="s">
        <v>779</v>
      </c>
      <c r="T65" s="776"/>
      <c r="U65" s="777"/>
      <c r="V65" s="778" t="s">
        <v>779</v>
      </c>
      <c r="W65" s="742"/>
      <c r="X65" s="7"/>
      <c r="Y65" s="570"/>
      <c r="Z65" s="533"/>
      <c r="AA65" s="617"/>
      <c r="AB65" s="611"/>
      <c r="AC65" s="612"/>
      <c r="AD65" s="613"/>
      <c r="AE65" s="612"/>
      <c r="AF65" s="582"/>
      <c r="AG65" s="594"/>
      <c r="AH65" s="614"/>
      <c r="AI65" s="614"/>
      <c r="AJ65" s="615"/>
      <c r="AK65" s="615"/>
      <c r="AL65" s="615"/>
      <c r="AM65" s="615"/>
      <c r="AN65" s="615"/>
      <c r="AO65" s="616"/>
      <c r="AP65" s="338"/>
      <c r="AQ65" s="338"/>
      <c r="AR65" s="338"/>
      <c r="AS65" s="338"/>
      <c r="AT65" s="338"/>
    </row>
    <row r="66" spans="1:255" s="575" customFormat="1" x14ac:dyDescent="0.55000000000000004">
      <c r="A66" s="61"/>
      <c r="B66" s="764" t="s">
        <v>190</v>
      </c>
      <c r="C66" s="61"/>
      <c r="D66" s="765"/>
      <c r="E66" s="766" t="s">
        <v>406</v>
      </c>
      <c r="F66" s="640" t="s">
        <v>95</v>
      </c>
      <c r="G66" s="767"/>
      <c r="H66" s="782"/>
      <c r="I66" s="769" t="s">
        <v>779</v>
      </c>
      <c r="J66" s="797" t="s">
        <v>779</v>
      </c>
      <c r="K66" s="780" t="s">
        <v>124</v>
      </c>
      <c r="L66" s="771" t="s">
        <v>779</v>
      </c>
      <c r="M66" s="772"/>
      <c r="N66" s="781"/>
      <c r="O66" s="773"/>
      <c r="P66" s="774"/>
      <c r="Q66" s="784"/>
      <c r="R66" s="775" t="s">
        <v>779</v>
      </c>
      <c r="S66" s="783" t="s">
        <v>779</v>
      </c>
      <c r="T66" s="776"/>
      <c r="U66" s="777"/>
      <c r="V66" s="778" t="s">
        <v>779</v>
      </c>
      <c r="W66" s="742"/>
      <c r="X66" s="7"/>
      <c r="Y66" s="570"/>
      <c r="Z66" s="533"/>
      <c r="AA66" s="533"/>
      <c r="AB66" s="626"/>
      <c r="AC66" s="523"/>
      <c r="AD66" s="613" t="e" cm="1">
        <f t="array" ref="AD66">_xlfn.IFS(B!#REF!&gt;10,B!#REF!,TRUE,"")</f>
        <v>#REF!</v>
      </c>
      <c r="AE66" s="523"/>
      <c r="AF66" s="346"/>
      <c r="AG66" s="523"/>
      <c r="AH66" s="523"/>
      <c r="AI66" s="523"/>
      <c r="AJ66" s="523"/>
      <c r="AK66" s="523"/>
      <c r="AL66" s="523"/>
      <c r="AM66" s="523"/>
      <c r="AN66" s="523"/>
      <c r="AO66" s="523"/>
      <c r="AP66" s="338"/>
      <c r="AQ66" s="344"/>
      <c r="AR66" s="344"/>
      <c r="AS66" s="344"/>
      <c r="AT66" s="344"/>
      <c r="AV66" s="573"/>
      <c r="AW66" s="573"/>
      <c r="AX66" s="573"/>
      <c r="AY66" s="573"/>
      <c r="AZ66" s="573"/>
      <c r="BA66" s="573"/>
      <c r="BB66" s="573"/>
      <c r="BC66" s="573"/>
      <c r="BD66" s="573"/>
      <c r="BE66" s="573"/>
      <c r="BF66" s="573"/>
      <c r="BG66" s="573"/>
      <c r="BH66" s="573"/>
      <c r="BI66" s="573"/>
      <c r="BJ66" s="573"/>
      <c r="BK66" s="573"/>
      <c r="BL66" s="573"/>
      <c r="BM66" s="573"/>
      <c r="BN66" s="573"/>
      <c r="BO66" s="573"/>
      <c r="BP66" s="573"/>
      <c r="BQ66" s="573"/>
      <c r="BR66" s="573"/>
      <c r="BS66" s="573"/>
      <c r="BT66" s="573"/>
      <c r="BU66" s="573"/>
      <c r="BV66" s="573"/>
      <c r="BW66" s="573"/>
      <c r="BX66" s="573"/>
      <c r="BY66" s="573"/>
      <c r="BZ66" s="573"/>
      <c r="CA66" s="573"/>
      <c r="CB66" s="573"/>
      <c r="CC66" s="573"/>
      <c r="CD66" s="573"/>
      <c r="CE66" s="573"/>
      <c r="CF66" s="573"/>
      <c r="CG66" s="573"/>
      <c r="CH66" s="573"/>
      <c r="CI66" s="573"/>
      <c r="CJ66" s="573"/>
      <c r="CK66" s="573"/>
      <c r="CL66" s="573"/>
      <c r="CM66" s="573"/>
      <c r="CN66" s="573"/>
      <c r="CO66" s="573"/>
      <c r="CP66" s="573"/>
      <c r="CQ66" s="573"/>
      <c r="CR66" s="573"/>
      <c r="CS66" s="573"/>
      <c r="CT66" s="573"/>
      <c r="CU66" s="573"/>
      <c r="CV66" s="573"/>
      <c r="CW66" s="573"/>
      <c r="CX66" s="573"/>
      <c r="CY66" s="573"/>
      <c r="CZ66" s="573"/>
      <c r="DA66" s="573"/>
      <c r="DB66" s="573"/>
      <c r="DC66" s="573"/>
      <c r="DD66" s="573"/>
      <c r="DE66" s="573"/>
      <c r="DF66" s="573"/>
      <c r="DG66" s="573"/>
      <c r="DH66" s="573"/>
      <c r="DI66" s="573"/>
      <c r="DJ66" s="573"/>
      <c r="DK66" s="573"/>
      <c r="DL66" s="573"/>
      <c r="DM66" s="573"/>
      <c r="DN66" s="573"/>
      <c r="DO66" s="573"/>
      <c r="DP66" s="573"/>
      <c r="DQ66" s="573"/>
      <c r="DR66" s="573"/>
      <c r="DS66" s="573"/>
      <c r="DT66" s="573"/>
      <c r="DU66" s="573"/>
      <c r="DV66" s="573"/>
      <c r="DW66" s="573"/>
      <c r="DX66" s="573"/>
      <c r="DY66" s="573"/>
      <c r="DZ66" s="573"/>
      <c r="EA66" s="573"/>
      <c r="EB66" s="573"/>
      <c r="EC66" s="573"/>
      <c r="ED66" s="573"/>
      <c r="EE66" s="573"/>
      <c r="EF66" s="573"/>
      <c r="EG66" s="573"/>
      <c r="EH66" s="573"/>
      <c r="EI66" s="573"/>
      <c r="EJ66" s="573"/>
      <c r="EK66" s="573"/>
      <c r="EL66" s="573"/>
      <c r="EM66" s="573"/>
      <c r="EN66" s="573"/>
      <c r="EO66" s="573"/>
      <c r="EP66" s="573"/>
      <c r="EQ66" s="573"/>
      <c r="ER66" s="573"/>
      <c r="ES66" s="573"/>
      <c r="ET66" s="573"/>
      <c r="EU66" s="573"/>
      <c r="EV66" s="573"/>
      <c r="EW66" s="573"/>
      <c r="EX66" s="573"/>
      <c r="EY66" s="573"/>
      <c r="EZ66" s="573"/>
      <c r="FA66" s="573"/>
      <c r="FB66" s="573"/>
      <c r="FC66" s="573"/>
      <c r="FD66" s="573"/>
      <c r="FE66" s="573"/>
      <c r="FF66" s="573"/>
      <c r="FG66" s="573"/>
      <c r="FH66" s="573"/>
      <c r="FI66" s="573"/>
      <c r="FJ66" s="573"/>
      <c r="FK66" s="573"/>
      <c r="FL66" s="573"/>
      <c r="FM66" s="573"/>
      <c r="FN66" s="573"/>
      <c r="FO66" s="573"/>
      <c r="FP66" s="573"/>
      <c r="FQ66" s="573"/>
      <c r="FR66" s="573"/>
      <c r="FS66" s="573"/>
      <c r="FT66" s="573"/>
      <c r="FU66" s="573"/>
      <c r="FV66" s="573"/>
      <c r="FW66" s="573"/>
      <c r="FX66" s="573"/>
      <c r="FY66" s="573"/>
      <c r="FZ66" s="573"/>
      <c r="GA66" s="573"/>
      <c r="GB66" s="573"/>
      <c r="GC66" s="573"/>
      <c r="GD66" s="573"/>
      <c r="GE66" s="573"/>
      <c r="GF66" s="573"/>
      <c r="GG66" s="573"/>
      <c r="GH66" s="573"/>
      <c r="GI66" s="573"/>
      <c r="GJ66" s="573"/>
      <c r="GK66" s="573"/>
      <c r="GL66" s="573"/>
      <c r="GM66" s="573"/>
      <c r="GN66" s="573"/>
      <c r="GO66" s="573"/>
      <c r="GP66" s="573"/>
      <c r="GQ66" s="573"/>
      <c r="GR66" s="573"/>
      <c r="GS66" s="573"/>
      <c r="GT66" s="573"/>
      <c r="GU66" s="573"/>
      <c r="GV66" s="573"/>
      <c r="GW66" s="573"/>
      <c r="GX66" s="573"/>
      <c r="GY66" s="573"/>
      <c r="GZ66" s="573"/>
      <c r="HA66" s="573"/>
      <c r="HB66" s="573"/>
      <c r="HC66" s="573"/>
      <c r="HD66" s="573"/>
      <c r="HE66" s="573"/>
      <c r="HF66" s="573"/>
      <c r="HG66" s="573"/>
      <c r="HH66" s="573"/>
      <c r="HI66" s="573"/>
      <c r="HJ66" s="573"/>
      <c r="HK66" s="573"/>
      <c r="HL66" s="573"/>
      <c r="HM66" s="573"/>
      <c r="HN66" s="573"/>
      <c r="HO66" s="573"/>
      <c r="HP66" s="573"/>
      <c r="HQ66" s="573"/>
      <c r="HR66" s="573"/>
      <c r="HS66" s="573"/>
      <c r="HT66" s="573"/>
      <c r="HU66" s="573"/>
      <c r="HV66" s="573"/>
      <c r="HW66" s="573"/>
      <c r="HX66" s="573"/>
      <c r="HY66" s="573"/>
      <c r="HZ66" s="573"/>
      <c r="IA66" s="573"/>
      <c r="IB66" s="573"/>
      <c r="IC66" s="573"/>
      <c r="ID66" s="573"/>
      <c r="IE66" s="573"/>
      <c r="IF66" s="573"/>
      <c r="IG66" s="573"/>
      <c r="IH66" s="573"/>
      <c r="II66" s="573"/>
      <c r="IJ66" s="573"/>
      <c r="IK66" s="573"/>
      <c r="IL66" s="573"/>
      <c r="IM66" s="573"/>
      <c r="IN66" s="573"/>
      <c r="IO66" s="573"/>
      <c r="IP66" s="573"/>
      <c r="IQ66" s="573"/>
      <c r="IR66" s="573"/>
      <c r="IS66" s="573"/>
      <c r="IT66" s="573"/>
      <c r="IU66" s="573"/>
    </row>
    <row r="67" spans="1:255" x14ac:dyDescent="0.55000000000000004">
      <c r="A67" s="61"/>
      <c r="B67" s="764" t="s">
        <v>779</v>
      </c>
      <c r="C67" s="61"/>
      <c r="D67" s="765"/>
      <c r="E67" s="766" t="s">
        <v>779</v>
      </c>
      <c r="F67" s="640"/>
      <c r="G67" s="779"/>
      <c r="H67" s="768"/>
      <c r="I67" s="769" t="s">
        <v>779</v>
      </c>
      <c r="J67" s="797" t="s">
        <v>779</v>
      </c>
      <c r="K67" s="780" t="s">
        <v>779</v>
      </c>
      <c r="L67" s="771" t="s">
        <v>779</v>
      </c>
      <c r="M67" s="772"/>
      <c r="N67" s="772"/>
      <c r="O67" s="773"/>
      <c r="P67" s="774"/>
      <c r="Q67" s="784"/>
      <c r="R67" s="775" t="s">
        <v>779</v>
      </c>
      <c r="S67" s="783" t="s">
        <v>779</v>
      </c>
      <c r="T67" s="776"/>
      <c r="U67" s="777"/>
      <c r="V67" s="778" t="s">
        <v>779</v>
      </c>
      <c r="W67" s="742"/>
      <c r="X67" s="7"/>
      <c r="Y67" s="630"/>
      <c r="Z67" s="627"/>
      <c r="AA67" s="627"/>
      <c r="AB67" s="627"/>
      <c r="AC67" s="627"/>
      <c r="AD67" s="627"/>
      <c r="AE67" s="627"/>
      <c r="AF67" s="627"/>
      <c r="AG67" s="627"/>
      <c r="AH67" s="627"/>
      <c r="AI67" s="627"/>
      <c r="AJ67" s="627"/>
      <c r="AK67" s="631"/>
    </row>
    <row r="68" spans="1:255" x14ac:dyDescent="0.55000000000000004">
      <c r="A68" s="61"/>
      <c r="B68" s="764" t="s">
        <v>779</v>
      </c>
      <c r="C68" s="61"/>
      <c r="D68" s="765"/>
      <c r="E68" s="766" t="s">
        <v>779</v>
      </c>
      <c r="F68" s="640"/>
      <c r="G68" s="779"/>
      <c r="H68" s="768"/>
      <c r="I68" s="769" t="s">
        <v>779</v>
      </c>
      <c r="J68" s="797" t="s">
        <v>779</v>
      </c>
      <c r="K68" s="780" t="s">
        <v>779</v>
      </c>
      <c r="L68" s="771" t="s">
        <v>779</v>
      </c>
      <c r="M68" s="772"/>
      <c r="N68" s="772"/>
      <c r="O68" s="773"/>
      <c r="P68" s="774"/>
      <c r="Q68" s="784"/>
      <c r="R68" s="775" t="s">
        <v>779</v>
      </c>
      <c r="S68" s="783" t="s">
        <v>779</v>
      </c>
      <c r="T68" s="776"/>
      <c r="U68" s="777"/>
      <c r="V68" s="778" t="s">
        <v>779</v>
      </c>
      <c r="W68" s="742"/>
      <c r="X68" s="7"/>
    </row>
    <row r="69" spans="1:255" x14ac:dyDescent="0.55000000000000004">
      <c r="A69" s="61"/>
      <c r="B69" s="764" t="s">
        <v>779</v>
      </c>
      <c r="C69" s="61"/>
      <c r="D69" s="765"/>
      <c r="E69" s="766" t="s">
        <v>779</v>
      </c>
      <c r="F69" s="640"/>
      <c r="G69" s="779"/>
      <c r="H69" s="768"/>
      <c r="I69" s="769" t="s">
        <v>779</v>
      </c>
      <c r="J69" s="797" t="s">
        <v>779</v>
      </c>
      <c r="K69" s="780" t="s">
        <v>779</v>
      </c>
      <c r="L69" s="771" t="s">
        <v>779</v>
      </c>
      <c r="M69" s="772"/>
      <c r="N69" s="772"/>
      <c r="O69" s="773"/>
      <c r="P69" s="774"/>
      <c r="Q69" s="784"/>
      <c r="R69" s="775" t="s">
        <v>779</v>
      </c>
      <c r="S69" s="783" t="s">
        <v>779</v>
      </c>
      <c r="T69" s="776"/>
      <c r="U69" s="777"/>
      <c r="V69" s="778" t="s">
        <v>779</v>
      </c>
      <c r="W69" s="742"/>
      <c r="X69" s="7"/>
      <c r="AO69" s="634"/>
      <c r="AP69" s="634"/>
    </row>
    <row r="70" spans="1:255" x14ac:dyDescent="0.55000000000000004">
      <c r="A70" s="61"/>
      <c r="B70" s="764" t="s">
        <v>779</v>
      </c>
      <c r="C70" s="61"/>
      <c r="D70" s="765"/>
      <c r="E70" s="766" t="s">
        <v>779</v>
      </c>
      <c r="F70" s="640"/>
      <c r="G70" s="779"/>
      <c r="H70" s="768"/>
      <c r="I70" s="769" t="s">
        <v>779</v>
      </c>
      <c r="J70" s="797" t="s">
        <v>779</v>
      </c>
      <c r="K70" s="780" t="s">
        <v>779</v>
      </c>
      <c r="L70" s="771" t="s">
        <v>779</v>
      </c>
      <c r="M70" s="772"/>
      <c r="N70" s="772"/>
      <c r="O70" s="773"/>
      <c r="P70" s="774"/>
      <c r="Q70" s="784"/>
      <c r="R70" s="775" t="s">
        <v>779</v>
      </c>
      <c r="S70" s="783" t="s">
        <v>779</v>
      </c>
      <c r="T70" s="776"/>
      <c r="U70" s="777"/>
      <c r="V70" s="778" t="s">
        <v>779</v>
      </c>
      <c r="W70" s="742"/>
      <c r="X70" s="7"/>
      <c r="AO70" s="634"/>
      <c r="AP70" s="634"/>
    </row>
    <row r="71" spans="1:255" x14ac:dyDescent="0.55000000000000004">
      <c r="A71" s="61"/>
      <c r="B71" s="764" t="s">
        <v>779</v>
      </c>
      <c r="C71" s="61"/>
      <c r="D71" s="765"/>
      <c r="E71" s="766" t="s">
        <v>779</v>
      </c>
      <c r="F71" s="640"/>
      <c r="G71" s="779"/>
      <c r="H71" s="768"/>
      <c r="I71" s="769" t="s">
        <v>779</v>
      </c>
      <c r="J71" s="797" t="s">
        <v>779</v>
      </c>
      <c r="K71" s="780" t="s">
        <v>779</v>
      </c>
      <c r="L71" s="771" t="s">
        <v>779</v>
      </c>
      <c r="M71" s="772"/>
      <c r="N71" s="772"/>
      <c r="O71" s="773"/>
      <c r="P71" s="774"/>
      <c r="Q71" s="784"/>
      <c r="R71" s="775" t="s">
        <v>779</v>
      </c>
      <c r="S71" s="783" t="s">
        <v>779</v>
      </c>
      <c r="T71" s="776"/>
      <c r="U71" s="777"/>
      <c r="V71" s="778" t="s">
        <v>779</v>
      </c>
      <c r="W71" s="742"/>
      <c r="X71" s="7"/>
      <c r="AO71" s="634"/>
      <c r="AP71" s="634"/>
    </row>
    <row r="72" spans="1:255" x14ac:dyDescent="0.55000000000000004">
      <c r="A72" s="61"/>
      <c r="B72" s="61"/>
      <c r="C72" s="61"/>
      <c r="D72" s="61"/>
      <c r="E72" s="61"/>
      <c r="F72" s="61"/>
      <c r="G72" s="61"/>
      <c r="H72" s="61"/>
      <c r="I72" s="647"/>
      <c r="J72" s="647"/>
      <c r="K72" s="665"/>
      <c r="L72" s="647"/>
      <c r="M72" s="647"/>
      <c r="N72" s="647"/>
      <c r="O72" s="647"/>
      <c r="P72" s="688"/>
      <c r="Q72" s="688"/>
      <c r="R72" s="688"/>
      <c r="S72" s="688"/>
      <c r="T72" s="688"/>
      <c r="U72" s="647"/>
      <c r="V72" s="647"/>
      <c r="W72" s="7"/>
      <c r="X72" s="7"/>
      <c r="AO72" s="634"/>
      <c r="AP72" s="634"/>
    </row>
    <row r="73" spans="1:255" x14ac:dyDescent="0.55000000000000004">
      <c r="AO73" s="634"/>
      <c r="AP73" s="634"/>
    </row>
    <row r="78" spans="1:255" x14ac:dyDescent="0.55000000000000004">
      <c r="AE78" s="572">
        <v>2</v>
      </c>
    </row>
  </sheetData>
  <sheetProtection algorithmName="SHA-512" hashValue="25lCD0000pQDKZY0Zqa4II1st0POjA5ppvT/e+DSVZOfeEgGi6mYTaIcV4QE3ffq6MZT6lOQD8lGq0CNFbxg/A==" saltValue="+14WJGFe5THwTcomw0y7Mw==" spinCount="100000" sheet="1" objects="1" scenarios="1" selectLockedCells="1"/>
  <mergeCells count="17">
    <mergeCell ref="V18:W22"/>
    <mergeCell ref="J18:J20"/>
    <mergeCell ref="P16:T17"/>
    <mergeCell ref="E18:E22"/>
    <mergeCell ref="F18:F22"/>
    <mergeCell ref="G18:G22"/>
    <mergeCell ref="L18:L22"/>
    <mergeCell ref="M18:M22"/>
    <mergeCell ref="N18:N22"/>
    <mergeCell ref="Q18:Q22"/>
    <mergeCell ref="R18:R22"/>
    <mergeCell ref="S18:S22"/>
    <mergeCell ref="AQ3:AS4"/>
    <mergeCell ref="AM7:AN7"/>
    <mergeCell ref="P12:S15"/>
    <mergeCell ref="V12:W13"/>
    <mergeCell ref="V15:W16"/>
  </mergeCells>
  <conditionalFormatting sqref="AQ33 AQ32:AR32">
    <cfRule type="cellIs" dxfId="36" priority="189" operator="between">
      <formula>"1-1-1109"</formula>
      <formula>"1-1-1920"</formula>
    </cfRule>
  </conditionalFormatting>
  <conditionalFormatting sqref="AB33:AB66">
    <cfRule type="notContainsText" dxfId="35" priority="165" operator="notContains" text="Verbod">
      <formula>ISERROR(SEARCH("Verbod",AB33))</formula>
    </cfRule>
  </conditionalFormatting>
  <conditionalFormatting sqref="AR32 AQ33">
    <cfRule type="top10" dxfId="34" priority="408" rank="1"/>
  </conditionalFormatting>
  <conditionalFormatting sqref="AQ32">
    <cfRule type="top10" dxfId="33" priority="427" rank="1"/>
  </conditionalFormatting>
  <conditionalFormatting sqref="AQ33 AQ32:AR32">
    <cfRule type="top10" priority="434" percent="1" bottom="1" rank="95"/>
    <cfRule type="top10" dxfId="32" priority="435" rank="1"/>
  </conditionalFormatting>
  <conditionalFormatting sqref="AJ33:AJ65">
    <cfRule type="cellIs" dxfId="31" priority="461" operator="between">
      <formula>$Y$17</formula>
      <formula>$Y$18</formula>
    </cfRule>
  </conditionalFormatting>
  <conditionalFormatting sqref="AK30:AK65">
    <cfRule type="cellIs" dxfId="30" priority="462" operator="between">
      <formula>$Y$20</formula>
      <formula>$Y$21</formula>
    </cfRule>
  </conditionalFormatting>
  <conditionalFormatting sqref="AL28:AL65">
    <cfRule type="cellIs" dxfId="29" priority="463" operator="between">
      <formula>$Y$23</formula>
      <formula>$Y$24</formula>
    </cfRule>
  </conditionalFormatting>
  <conditionalFormatting sqref="AM33:AM65">
    <cfRule type="cellIs" dxfId="28" priority="464" operator="between">
      <formula>$Y$26</formula>
      <formula>$Y$27</formula>
    </cfRule>
  </conditionalFormatting>
  <conditionalFormatting sqref="AN33:AN65">
    <cfRule type="cellIs" dxfId="27" priority="465" operator="between">
      <formula>$Y$29</formula>
      <formula>$Y$30</formula>
    </cfRule>
  </conditionalFormatting>
  <conditionalFormatting sqref="AB17:AB32">
    <cfRule type="notContainsText" dxfId="26" priority="10" operator="notContains" text="Verbod">
      <formula>ISERROR(SEARCH("Verbod",AB17))</formula>
    </cfRule>
  </conditionalFormatting>
  <conditionalFormatting sqref="AJ17:AJ32">
    <cfRule type="cellIs" dxfId="25" priority="11" operator="between">
      <formula>$Y$17</formula>
      <formula>$Y$18</formula>
    </cfRule>
  </conditionalFormatting>
  <conditionalFormatting sqref="AK17:AK28">
    <cfRule type="cellIs" dxfId="24" priority="12" operator="between">
      <formula>$Y$20</formula>
      <formula>$Y$21</formula>
    </cfRule>
  </conditionalFormatting>
  <conditionalFormatting sqref="AL17:AL26">
    <cfRule type="cellIs" dxfId="23" priority="13" operator="between">
      <formula>$Y$23</formula>
      <formula>$Y$24</formula>
    </cfRule>
  </conditionalFormatting>
  <conditionalFormatting sqref="AM17:AM32">
    <cfRule type="cellIs" dxfId="22" priority="14" operator="between">
      <formula>$Y$26</formula>
      <formula>$Y$27</formula>
    </cfRule>
  </conditionalFormatting>
  <conditionalFormatting sqref="AN17:AN32">
    <cfRule type="cellIs" dxfId="21" priority="15" operator="between">
      <formula>$Y$29</formula>
      <formula>$Y$30</formula>
    </cfRule>
  </conditionalFormatting>
  <conditionalFormatting sqref="AL27">
    <cfRule type="cellIs" dxfId="20" priority="9" operator="between">
      <formula>$Y$26</formula>
      <formula>$Y$27</formula>
    </cfRule>
  </conditionalFormatting>
  <conditionalFormatting sqref="AK29">
    <cfRule type="cellIs" dxfId="19" priority="8" operator="between">
      <formula>$Y$26</formula>
      <formula>$Y$27</formula>
    </cfRule>
  </conditionalFormatting>
  <conditionalFormatting sqref="I37:I71 J39:K39 D39:H71 J40:L71">
    <cfRule type="cellIs" dxfId="18" priority="7" operator="between">
      <formula>"1-1-1109"</formula>
      <formula>"1-1-1920"</formula>
    </cfRule>
  </conditionalFormatting>
  <conditionalFormatting sqref="L40:L71 D39 J39:K39">
    <cfRule type="top10" dxfId="17" priority="6" rank="1"/>
  </conditionalFormatting>
  <conditionalFormatting sqref="I38:I39 D40:D71 J40:K71">
    <cfRule type="top10" dxfId="16" priority="5" rank="1"/>
  </conditionalFormatting>
  <conditionalFormatting sqref="I37:I71">
    <cfRule type="top10" dxfId="15" priority="466" rank="1"/>
  </conditionalFormatting>
  <conditionalFormatting sqref="I37:I71 L40:L71 D39:D71 J39:K71">
    <cfRule type="top10" priority="467" percent="1" bottom="1" rank="95"/>
    <cfRule type="top10" dxfId="14" priority="467" rank="1"/>
  </conditionalFormatting>
  <dataValidations count="7">
    <dataValidation type="list" allowBlank="1" showInputMessage="1" showErrorMessage="1" sqref="AM7" xr:uid="{B35DBE2D-0811-4215-B6C2-1061A6D6BBBC}">
      <formula1>Functies_invoeren</formula1>
    </dataValidation>
    <dataValidation type="list" allowBlank="1" showInputMessage="1" showErrorMessage="1" sqref="Q23:Q71" xr:uid="{53DACC82-18CB-4FB0-9922-DEE0641F1FA4}">
      <formula1>"n.v.t.,Nee,Ja"</formula1>
    </dataValidation>
    <dataValidation type="list" allowBlank="1" showInputMessage="1" showErrorMessage="1" sqref="S23:S71" xr:uid="{B93BC1AA-F1A5-4387-83C4-A1914B9FE18F}">
      <formula1>"n.v.t.,Keuze,Nee,Ja"</formula1>
    </dataValidation>
    <dataValidation type="date" allowBlank="1" showInputMessage="1" showErrorMessage="1" sqref="N23:N71" xr:uid="{05D87634-0C43-40C7-AEC1-5A1B12B0781A}">
      <formula1>7306</formula1>
      <formula2>51136</formula2>
    </dataValidation>
    <dataValidation type="date" allowBlank="1" showInputMessage="1" showErrorMessage="1" sqref="G23:H71" xr:uid="{F146ED59-7100-4D05-B5D8-24E0ADDA804B}">
      <formula1>43831</formula1>
      <formula2>54789</formula2>
    </dataValidation>
    <dataValidation type="list" allowBlank="1" showInputMessage="1" showErrorMessage="1" sqref="F23:F71 V23:V71" xr:uid="{1AE842F0-4CCD-4BFA-A180-C365FD1FEA29}">
      <formula1>"Keuze,Ja,Nee"</formula1>
    </dataValidation>
    <dataValidation type="list" allowBlank="1" showInputMessage="1" showErrorMessage="1" sqref="M23:M71" xr:uid="{4741C4D9-7822-4D74-8DD1-05E8EB968221}">
      <formula1>" -,Tijdelijk,AOW,Ontslagname,VSO,Einde-oproep"</formula1>
    </dataValidation>
  </dataValidations>
  <hyperlinks>
    <hyperlink ref="J22" location="G!D58" display="wijzig peildatum" xr:uid="{189250FB-53D1-46C5-BF53-1020E5BF4C4C}"/>
  </hyperlinks>
  <pageMargins left="0.7" right="0.7" top="0.75" bottom="0.75" header="0.3" footer="0.3"/>
  <pageSetup paperSize="9" scale="37" fitToHeight="0" orientation="landscape" horizontalDpi="0" verticalDpi="0" r:id="rId1"/>
  <ignoredErrors>
    <ignoredError sqref="Y31" evalError="1"/>
  </ignoredErrors>
  <drawing r:id="rId2"/>
  <extLst>
    <ext xmlns:x14="http://schemas.microsoft.com/office/spreadsheetml/2009/9/main" uri="{78C0D931-6437-407d-A8EE-F0AAD7539E65}">
      <x14:conditionalFormattings>
        <x14:conditionalFormatting xmlns:xm="http://schemas.microsoft.com/office/excel/2006/main">
          <x14:cfRule type="cellIs" priority="486" operator="lessThan" id="{66155CC6-845B-4CC7-A077-E2F42BF64BAB}">
            <xm:f>B!#REF!</xm:f>
            <x14:dxf>
              <font>
                <color theme="0" tint="-0.24994659260841701"/>
              </font>
            </x14:dxf>
          </x14:cfRule>
          <x14:cfRule type="cellIs" priority="487" operator="between" id="{C49C8821-AF5E-41BE-A025-663201CA7DE5}">
            <xm:f>B!#REF!</xm:f>
            <xm:f>B!#REF!</xm:f>
            <x14:dxf>
              <font>
                <color theme="0" tint="-0.24994659260841701"/>
              </font>
            </x14:dxf>
          </x14:cfRule>
          <xm:sqref>AQ33 AQ32:AR32</xm:sqref>
        </x14:conditionalFormatting>
        <x14:conditionalFormatting xmlns:xm="http://schemas.microsoft.com/office/excel/2006/main">
          <x14:cfRule type="cellIs" priority="497" operator="lessThan" id="{44D0A7C4-BB23-4AC7-90B0-F25C2F0F2439}">
            <xm:f>B!#REF!</xm:f>
            <x14:dxf>
              <font>
                <color theme="0" tint="-0.24994659260841701"/>
              </font>
            </x14:dxf>
          </x14:cfRule>
          <xm:sqref>AQ32</xm:sqref>
        </x14:conditionalFormatting>
        <x14:conditionalFormatting xmlns:xm="http://schemas.microsoft.com/office/excel/2006/main">
          <x14:cfRule type="cellIs" priority="500" operator="lessThan" id="{CFFADC50-65C7-48FB-8854-728AB79DA294}">
            <xm:f>B!#REF!</xm:f>
            <x14:dxf>
              <font>
                <color theme="0" tint="-0.24994659260841701"/>
              </font>
            </x14:dxf>
          </x14:cfRule>
          <xm:sqref>AR32 AQ33</xm:sqref>
        </x14:conditionalFormatting>
        <x14:conditionalFormatting xmlns:xm="http://schemas.microsoft.com/office/excel/2006/main">
          <x14:cfRule type="expression" priority="1" id="{0F75F423-72ED-4DFB-A437-0975108971F0}">
            <xm:f>Stappenplan!$L$6="Korte route"</xm:f>
            <x14:dxf>
              <fill>
                <patternFill>
                  <bgColor theme="7" tint="0.79998168889431442"/>
                </patternFill>
              </fill>
            </x14:dxf>
          </x14:cfRule>
          <xm:sqref>F23:G71 M23:N71 Q23:Q71 S23:S71 V23:V71</xm:sqref>
        </x14:conditionalFormatting>
      </x14:conditionalFormattings>
    </ext>
    <ext xmlns:x14="http://schemas.microsoft.com/office/spreadsheetml/2009/9/main" uri="{CCE6A557-97BC-4b89-ADB6-D9C93CAAB3DF}">
      <x14:dataValidations xmlns:xm="http://schemas.microsoft.com/office/excel/2006/main" count="1">
        <x14:dataValidation type="whole" operator="lessThanOrEqual" allowBlank="1" showInputMessage="1" showErrorMessage="1" errorTitle="Te veel" error="Het maximum aantal werknemers in deze functie is bereikt!" xr:uid="{79E92C10-D720-40C2-86C5-9034A7508AB7}">
          <x14:formula1>
            <xm:f>B!#REF!+B!#REF!</xm:f>
          </x14:formula1>
          <xm:sqref>AM9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D64E-78FD-444B-A07D-8BB6DCC551ED}">
  <sheetPr codeName="Blad10">
    <pageSetUpPr fitToPage="1"/>
  </sheetPr>
  <dimension ref="A1:AD70"/>
  <sheetViews>
    <sheetView workbookViewId="0"/>
  </sheetViews>
  <sheetFormatPr defaultRowHeight="14.4" x14ac:dyDescent="0.55000000000000004"/>
  <cols>
    <col min="1" max="1" width="3.26171875" customWidth="1"/>
    <col min="2" max="2" width="1.26171875" customWidth="1"/>
    <col min="3" max="3" width="9.62890625" customWidth="1"/>
    <col min="4" max="4" width="10.3671875" customWidth="1"/>
    <col min="5" max="5" width="12.89453125" customWidth="1"/>
    <col min="6" max="6" width="6.05078125" customWidth="1"/>
    <col min="7" max="7" width="0.7890625" style="162" customWidth="1"/>
    <col min="8" max="8" width="1" style="162" customWidth="1"/>
    <col min="9" max="9" width="12.05078125" customWidth="1"/>
    <col min="10" max="10" width="1.68359375" customWidth="1"/>
    <col min="16" max="16" width="4.3671875" customWidth="1"/>
    <col min="17" max="17" width="0.5234375" customWidth="1"/>
    <col min="18" max="18" width="3.578125" customWidth="1"/>
  </cols>
  <sheetData>
    <row r="1" spans="1:24" x14ac:dyDescent="0.55000000000000004">
      <c r="A1" s="335" t="s">
        <v>779</v>
      </c>
      <c r="B1" s="6" t="s">
        <v>779</v>
      </c>
      <c r="C1" s="6" t="s">
        <v>779</v>
      </c>
      <c r="D1" s="6" t="s">
        <v>779</v>
      </c>
      <c r="E1" s="6" t="s">
        <v>779</v>
      </c>
      <c r="F1" s="6" t="s">
        <v>779</v>
      </c>
      <c r="G1" s="12" t="s">
        <v>779</v>
      </c>
      <c r="H1" s="12" t="s">
        <v>779</v>
      </c>
      <c r="I1" s="6" t="s">
        <v>779</v>
      </c>
      <c r="J1" s="6" t="s">
        <v>779</v>
      </c>
      <c r="K1" s="6" t="s">
        <v>779</v>
      </c>
      <c r="L1" s="6" t="s">
        <v>779</v>
      </c>
      <c r="M1" s="6" t="s">
        <v>779</v>
      </c>
      <c r="N1" s="6" t="s">
        <v>779</v>
      </c>
      <c r="O1" s="6" t="s">
        <v>779</v>
      </c>
      <c r="P1" s="6"/>
      <c r="Q1" s="6"/>
      <c r="R1" s="6"/>
      <c r="S1" s="6"/>
      <c r="T1" s="6"/>
      <c r="U1" s="6"/>
      <c r="V1" s="6"/>
      <c r="W1" s="6"/>
      <c r="X1" s="6"/>
    </row>
    <row r="2" spans="1:24" ht="23.1" x14ac:dyDescent="0.85">
      <c r="A2" s="6" t="s">
        <v>779</v>
      </c>
      <c r="B2" s="170" t="s">
        <v>560</v>
      </c>
      <c r="C2" s="143"/>
      <c r="D2" s="6"/>
      <c r="E2" s="6"/>
      <c r="F2" s="6"/>
      <c r="G2" s="12"/>
      <c r="H2" s="12"/>
      <c r="I2" s="6"/>
      <c r="J2" s="6"/>
      <c r="K2" s="6"/>
      <c r="L2" s="6"/>
      <c r="M2" s="150" t="s">
        <v>122</v>
      </c>
      <c r="N2" s="6"/>
      <c r="O2" s="6"/>
      <c r="P2" s="6"/>
      <c r="Q2" s="6"/>
      <c r="R2" s="6"/>
      <c r="S2" s="170" t="s">
        <v>585</v>
      </c>
      <c r="T2" s="6"/>
      <c r="U2" s="6"/>
      <c r="V2" s="6"/>
      <c r="W2" s="6"/>
      <c r="X2" s="151">
        <v>7</v>
      </c>
    </row>
    <row r="3" spans="1:24" x14ac:dyDescent="0.55000000000000004">
      <c r="A3" s="6" t="s">
        <v>779</v>
      </c>
      <c r="B3" s="6" t="s">
        <v>779</v>
      </c>
      <c r="C3" s="6" t="s">
        <v>779</v>
      </c>
      <c r="D3" s="6" t="s">
        <v>779</v>
      </c>
      <c r="E3" s="6" t="s">
        <v>779</v>
      </c>
      <c r="F3" s="6" t="s">
        <v>779</v>
      </c>
      <c r="G3" s="12" t="s">
        <v>779</v>
      </c>
      <c r="H3" s="12" t="s">
        <v>779</v>
      </c>
      <c r="I3" s="6" t="s">
        <v>779</v>
      </c>
      <c r="J3" s="6" t="s">
        <v>779</v>
      </c>
      <c r="K3" s="6" t="s">
        <v>779</v>
      </c>
      <c r="L3" s="6" t="s">
        <v>779</v>
      </c>
      <c r="M3" s="6" t="s">
        <v>779</v>
      </c>
      <c r="N3" s="6" t="s">
        <v>779</v>
      </c>
      <c r="O3" s="6" t="s">
        <v>779</v>
      </c>
      <c r="P3" s="6"/>
      <c r="Q3" s="6"/>
      <c r="R3" s="6"/>
      <c r="S3" s="6"/>
      <c r="T3" s="6"/>
      <c r="U3" s="6"/>
      <c r="V3" s="6"/>
      <c r="W3" s="6"/>
      <c r="X3" s="6"/>
    </row>
    <row r="4" spans="1:24" ht="2.7" customHeight="1" x14ac:dyDescent="0.55000000000000004">
      <c r="A4" s="6" t="s">
        <v>779</v>
      </c>
      <c r="B4" s="6" t="s">
        <v>779</v>
      </c>
      <c r="C4" s="6" t="s">
        <v>779</v>
      </c>
      <c r="D4" s="6"/>
      <c r="E4" s="6"/>
      <c r="F4" s="6"/>
      <c r="G4" s="12"/>
      <c r="H4" s="12"/>
      <c r="I4" s="6"/>
      <c r="J4" s="6"/>
      <c r="K4" s="6"/>
      <c r="L4" s="6" t="s">
        <v>779</v>
      </c>
      <c r="M4" s="6" t="s">
        <v>779</v>
      </c>
      <c r="N4" s="6"/>
      <c r="O4" s="6" t="s">
        <v>779</v>
      </c>
      <c r="P4" s="6"/>
      <c r="Q4" s="6"/>
      <c r="R4" s="6"/>
      <c r="S4" s="6"/>
      <c r="T4" s="6"/>
      <c r="U4" s="6"/>
      <c r="V4" s="6"/>
      <c r="W4" s="6"/>
      <c r="X4" s="6"/>
    </row>
    <row r="5" spans="1:24" x14ac:dyDescent="0.55000000000000004">
      <c r="A5" s="6" t="s">
        <v>779</v>
      </c>
      <c r="B5" s="6" t="s">
        <v>779</v>
      </c>
      <c r="C5" s="6" t="s">
        <v>779</v>
      </c>
      <c r="D5" s="6" t="s">
        <v>779</v>
      </c>
      <c r="E5" s="6" t="s">
        <v>779</v>
      </c>
      <c r="F5" s="6" t="s">
        <v>779</v>
      </c>
      <c r="G5" s="12" t="s">
        <v>779</v>
      </c>
      <c r="H5" s="12" t="s">
        <v>779</v>
      </c>
      <c r="I5" s="6" t="s">
        <v>779</v>
      </c>
      <c r="J5" s="6" t="s">
        <v>779</v>
      </c>
      <c r="K5" s="6" t="s">
        <v>779</v>
      </c>
      <c r="L5" s="6" t="s">
        <v>779</v>
      </c>
      <c r="M5" s="6" t="s">
        <v>779</v>
      </c>
      <c r="N5" s="6" t="s">
        <v>779</v>
      </c>
      <c r="O5" s="6" t="s">
        <v>779</v>
      </c>
      <c r="P5" s="6"/>
      <c r="Q5" s="6"/>
      <c r="R5" s="6"/>
      <c r="S5" s="6"/>
      <c r="T5" s="6"/>
      <c r="U5" s="6"/>
      <c r="V5" s="6"/>
      <c r="W5" s="6"/>
      <c r="X5" s="6"/>
    </row>
    <row r="6" spans="1:24" x14ac:dyDescent="0.55000000000000004">
      <c r="A6" s="6" t="s">
        <v>779</v>
      </c>
      <c r="B6" s="6" t="s">
        <v>779</v>
      </c>
      <c r="C6" s="6" t="s">
        <v>779</v>
      </c>
      <c r="D6" s="6" t="s">
        <v>779</v>
      </c>
      <c r="E6" s="6" t="s">
        <v>779</v>
      </c>
      <c r="F6" s="6" t="s">
        <v>779</v>
      </c>
      <c r="G6" s="12" t="s">
        <v>779</v>
      </c>
      <c r="H6" s="140" t="s">
        <v>779</v>
      </c>
      <c r="I6" s="6" t="s">
        <v>779</v>
      </c>
      <c r="J6" s="6" t="s">
        <v>779</v>
      </c>
      <c r="K6" s="6" t="s">
        <v>779</v>
      </c>
      <c r="L6" s="6" t="s">
        <v>779</v>
      </c>
      <c r="M6" s="6" t="s">
        <v>779</v>
      </c>
      <c r="N6" s="6" t="s">
        <v>779</v>
      </c>
      <c r="O6" s="6" t="s">
        <v>779</v>
      </c>
      <c r="P6" s="6"/>
      <c r="Q6" s="6"/>
      <c r="R6" s="140"/>
      <c r="S6" s="6"/>
      <c r="T6" s="6"/>
      <c r="U6" s="6"/>
      <c r="V6" s="6"/>
      <c r="W6" s="6"/>
      <c r="X6" s="6"/>
    </row>
    <row r="7" spans="1:24" ht="15.6" x14ac:dyDescent="0.6">
      <c r="A7" s="6" t="s">
        <v>779</v>
      </c>
      <c r="B7" s="6"/>
      <c r="C7" s="167">
        <v>3</v>
      </c>
      <c r="D7" s="168" t="s">
        <v>790</v>
      </c>
      <c r="E7" s="168"/>
      <c r="F7" s="100"/>
      <c r="G7" s="149"/>
      <c r="H7" s="169" t="s">
        <v>779</v>
      </c>
      <c r="I7" s="100" t="s">
        <v>779</v>
      </c>
      <c r="J7" s="100" t="s">
        <v>779</v>
      </c>
      <c r="K7" s="167">
        <v>3</v>
      </c>
      <c r="L7" s="168" t="s">
        <v>791</v>
      </c>
      <c r="M7" s="100"/>
      <c r="N7" s="96"/>
      <c r="O7" s="96" t="s">
        <v>779</v>
      </c>
      <c r="P7" s="96"/>
      <c r="Q7" s="96"/>
      <c r="R7" s="155"/>
      <c r="S7" s="99"/>
      <c r="T7" s="102"/>
      <c r="U7" s="141"/>
      <c r="V7" s="141"/>
      <c r="W7" s="141"/>
      <c r="X7" s="141"/>
    </row>
    <row r="8" spans="1:24" ht="15.6" x14ac:dyDescent="0.6">
      <c r="A8" s="6" t="s">
        <v>779</v>
      </c>
      <c r="B8" s="6"/>
      <c r="C8" s="167">
        <v>1</v>
      </c>
      <c r="D8" s="168" t="s">
        <v>792</v>
      </c>
      <c r="E8" s="168"/>
      <c r="F8" s="100"/>
      <c r="G8" s="149"/>
      <c r="H8" s="169" t="s">
        <v>779</v>
      </c>
      <c r="I8" s="100" t="s">
        <v>779</v>
      </c>
      <c r="J8" s="100" t="s">
        <v>779</v>
      </c>
      <c r="K8" s="100" t="s">
        <v>779</v>
      </c>
      <c r="L8" s="100" t="s">
        <v>779</v>
      </c>
      <c r="M8" s="100" t="s">
        <v>779</v>
      </c>
      <c r="N8" s="96" t="s">
        <v>779</v>
      </c>
      <c r="O8" s="96" t="s">
        <v>779</v>
      </c>
      <c r="P8" s="96"/>
      <c r="Q8" s="96"/>
      <c r="R8" s="155"/>
      <c r="S8" s="102"/>
      <c r="T8" s="102"/>
      <c r="U8" s="141"/>
      <c r="V8" s="141"/>
      <c r="W8" s="141"/>
      <c r="X8" s="141"/>
    </row>
    <row r="9" spans="1:24" x14ac:dyDescent="0.55000000000000004">
      <c r="A9" s="6" t="s">
        <v>779</v>
      </c>
      <c r="B9" s="6" t="s">
        <v>779</v>
      </c>
      <c r="C9" s="6" t="s">
        <v>779</v>
      </c>
      <c r="D9" s="6" t="s">
        <v>779</v>
      </c>
      <c r="E9" s="6" t="s">
        <v>779</v>
      </c>
      <c r="F9" s="6" t="s">
        <v>779</v>
      </c>
      <c r="G9" s="12" t="s">
        <v>779</v>
      </c>
      <c r="H9" s="140" t="s">
        <v>779</v>
      </c>
      <c r="I9" s="6" t="s">
        <v>779</v>
      </c>
      <c r="J9" s="6" t="s">
        <v>779</v>
      </c>
      <c r="K9" s="153" t="s">
        <v>779</v>
      </c>
      <c r="L9" s="153" t="s">
        <v>779</v>
      </c>
      <c r="M9" s="153" t="s">
        <v>779</v>
      </c>
      <c r="N9" s="153" t="s">
        <v>779</v>
      </c>
      <c r="O9" s="153" t="s">
        <v>779</v>
      </c>
      <c r="P9" s="166"/>
      <c r="Q9" s="6"/>
      <c r="R9" s="140"/>
      <c r="S9" s="141"/>
      <c r="T9" s="141"/>
      <c r="U9" s="141"/>
      <c r="V9" s="141"/>
      <c r="W9" s="141"/>
      <c r="X9" s="141"/>
    </row>
    <row r="10" spans="1:24" ht="14.4" customHeight="1" x14ac:dyDescent="0.55000000000000004">
      <c r="A10" s="6" t="s">
        <v>779</v>
      </c>
      <c r="B10" s="6" t="s">
        <v>779</v>
      </c>
      <c r="C10" s="6" t="s">
        <v>779</v>
      </c>
      <c r="D10" s="6" t="s">
        <v>779</v>
      </c>
      <c r="E10" s="6" t="s">
        <v>779</v>
      </c>
      <c r="F10" s="6" t="s">
        <v>779</v>
      </c>
      <c r="G10" s="12" t="s">
        <v>779</v>
      </c>
      <c r="H10" s="12" t="s">
        <v>779</v>
      </c>
      <c r="I10" s="6" t="s">
        <v>779</v>
      </c>
      <c r="J10" s="6" t="s">
        <v>779</v>
      </c>
      <c r="K10" s="153" t="s">
        <v>779</v>
      </c>
      <c r="L10" s="153" t="s">
        <v>779</v>
      </c>
      <c r="M10" s="153" t="s">
        <v>779</v>
      </c>
      <c r="N10" s="153" t="s">
        <v>779</v>
      </c>
      <c r="O10" s="153" t="s">
        <v>779</v>
      </c>
      <c r="P10" s="951"/>
      <c r="Q10" s="951"/>
      <c r="R10" s="951"/>
      <c r="S10" s="951"/>
      <c r="T10" s="951"/>
      <c r="U10" s="951"/>
      <c r="V10" s="951"/>
      <c r="W10" s="951"/>
      <c r="X10" s="951"/>
    </row>
    <row r="11" spans="1:24" x14ac:dyDescent="0.55000000000000004">
      <c r="A11" s="6"/>
      <c r="B11" s="6"/>
      <c r="C11" s="6"/>
      <c r="D11" s="6"/>
      <c r="E11" s="6"/>
      <c r="F11" s="6"/>
      <c r="G11" s="12"/>
      <c r="H11" s="12"/>
      <c r="I11" s="6"/>
      <c r="J11" s="6"/>
      <c r="K11" s="143"/>
      <c r="L11" s="143"/>
      <c r="M11" s="143"/>
      <c r="N11" s="143"/>
      <c r="O11" s="143"/>
      <c r="P11" s="951"/>
      <c r="Q11" s="951"/>
      <c r="R11" s="951"/>
      <c r="S11" s="951"/>
      <c r="T11" s="951"/>
      <c r="U11" s="951"/>
      <c r="V11" s="951"/>
      <c r="W11" s="951"/>
      <c r="X11" s="951"/>
    </row>
    <row r="12" spans="1:24" x14ac:dyDescent="0.55000000000000004">
      <c r="A12" s="6"/>
      <c r="B12" s="6"/>
      <c r="C12" s="6"/>
      <c r="D12" s="6"/>
      <c r="E12" s="6"/>
      <c r="F12" s="6"/>
      <c r="G12" s="64" t="s">
        <v>779</v>
      </c>
      <c r="H12" s="155" t="s">
        <v>779</v>
      </c>
      <c r="I12" s="130" t="s">
        <v>581</v>
      </c>
      <c r="J12" s="96" t="s">
        <v>779</v>
      </c>
      <c r="K12" s="157" t="s">
        <v>248</v>
      </c>
      <c r="L12" s="157" t="s">
        <v>247</v>
      </c>
      <c r="M12" s="157" t="s">
        <v>193</v>
      </c>
      <c r="N12" s="157" t="s">
        <v>241</v>
      </c>
      <c r="O12" s="157" t="s">
        <v>242</v>
      </c>
      <c r="P12" s="6"/>
      <c r="Q12" s="6"/>
      <c r="R12" s="140"/>
      <c r="S12" s="152"/>
      <c r="T12" s="141"/>
      <c r="U12" s="141"/>
      <c r="V12" s="141"/>
      <c r="W12" s="141"/>
      <c r="X12" s="141"/>
    </row>
    <row r="13" spans="1:24" ht="14.4" customHeight="1" x14ac:dyDescent="0.55000000000000004">
      <c r="A13" s="6"/>
      <c r="B13" s="6"/>
      <c r="C13" s="6"/>
      <c r="D13" s="6"/>
      <c r="E13" s="6"/>
      <c r="F13" s="6"/>
      <c r="G13" s="12"/>
      <c r="H13" s="140"/>
      <c r="I13" s="96" t="s">
        <v>195</v>
      </c>
      <c r="J13" s="6"/>
      <c r="K13" s="165">
        <v>0.42857142857142855</v>
      </c>
      <c r="L13" s="165">
        <v>1.7142857142857142</v>
      </c>
      <c r="M13" s="165">
        <v>1.7142857142857142</v>
      </c>
      <c r="N13" s="165">
        <v>1.2857142857142856</v>
      </c>
      <c r="O13" s="165">
        <v>0.8571428571428571</v>
      </c>
      <c r="P13" s="6"/>
      <c r="Q13" s="6"/>
      <c r="R13" s="140"/>
      <c r="S13" s="953"/>
      <c r="T13" s="953"/>
      <c r="U13" s="953"/>
      <c r="V13" s="953"/>
      <c r="W13" s="953"/>
      <c r="X13" s="953"/>
    </row>
    <row r="14" spans="1:24" x14ac:dyDescent="0.55000000000000004">
      <c r="A14" s="6"/>
      <c r="B14" s="96"/>
      <c r="C14" s="96"/>
      <c r="D14" s="96"/>
      <c r="E14" s="96"/>
      <c r="F14" s="96"/>
      <c r="G14" s="64"/>
      <c r="H14" s="155"/>
      <c r="I14" s="96" t="s">
        <v>583</v>
      </c>
      <c r="J14" s="96"/>
      <c r="K14" s="135">
        <v>0</v>
      </c>
      <c r="L14" s="135">
        <v>2</v>
      </c>
      <c r="M14" s="135">
        <v>2</v>
      </c>
      <c r="N14" s="135">
        <v>1</v>
      </c>
      <c r="O14" s="135">
        <v>1</v>
      </c>
      <c r="P14" s="96"/>
      <c r="Q14" s="96"/>
      <c r="R14" s="155"/>
      <c r="S14" s="953"/>
      <c r="T14" s="953"/>
      <c r="U14" s="953"/>
      <c r="V14" s="953"/>
      <c r="W14" s="953"/>
      <c r="X14" s="953"/>
    </row>
    <row r="15" spans="1:24" x14ac:dyDescent="0.55000000000000004">
      <c r="A15" s="6"/>
      <c r="B15" s="96"/>
      <c r="C15" s="96"/>
      <c r="D15" s="96"/>
      <c r="E15" s="96"/>
      <c r="F15" s="96"/>
      <c r="G15" s="64"/>
      <c r="H15" s="155"/>
      <c r="I15" s="96" t="s">
        <v>584</v>
      </c>
      <c r="J15" s="96"/>
      <c r="K15" s="135">
        <v>0</v>
      </c>
      <c r="L15" s="135">
        <v>1</v>
      </c>
      <c r="M15" s="135">
        <v>1</v>
      </c>
      <c r="N15" s="135">
        <v>0</v>
      </c>
      <c r="O15" s="135">
        <v>1</v>
      </c>
      <c r="P15" s="96"/>
      <c r="Q15" s="96"/>
      <c r="R15" s="155"/>
      <c r="S15" s="953"/>
      <c r="T15" s="953"/>
      <c r="U15" s="953"/>
      <c r="V15" s="953"/>
      <c r="W15" s="953"/>
      <c r="X15" s="953"/>
    </row>
    <row r="16" spans="1:24" ht="14.4" customHeight="1" x14ac:dyDescent="0.55000000000000004">
      <c r="A16" s="146" t="s">
        <v>779</v>
      </c>
      <c r="B16" s="6"/>
      <c r="C16" s="6"/>
      <c r="D16" s="6"/>
      <c r="E16" s="6"/>
      <c r="F16" s="6"/>
      <c r="G16" s="12"/>
      <c r="H16" s="140"/>
      <c r="I16" s="96" t="s">
        <v>422</v>
      </c>
      <c r="J16" s="6"/>
      <c r="K16" s="164">
        <v>0</v>
      </c>
      <c r="L16" s="164">
        <v>1</v>
      </c>
      <c r="M16" s="164">
        <v>1</v>
      </c>
      <c r="N16" s="164">
        <v>1</v>
      </c>
      <c r="O16" s="164">
        <v>0</v>
      </c>
      <c r="P16" s="96"/>
      <c r="Q16" s="96"/>
      <c r="R16" s="155"/>
      <c r="S16" s="6"/>
      <c r="T16" s="6"/>
      <c r="U16" s="6"/>
      <c r="V16" s="6"/>
      <c r="W16" s="6"/>
      <c r="X16" s="6"/>
    </row>
    <row r="17" spans="1:30" ht="14.4" customHeight="1" x14ac:dyDescent="0.55000000000000004">
      <c r="A17" s="146"/>
      <c r="B17" s="6"/>
      <c r="C17" s="6"/>
      <c r="D17" s="6"/>
      <c r="E17" s="6"/>
      <c r="F17" s="12"/>
      <c r="G17" s="12"/>
      <c r="H17" s="12"/>
      <c r="I17" s="64"/>
      <c r="J17" s="12"/>
      <c r="K17" s="12"/>
      <c r="L17" s="12"/>
      <c r="M17" s="12"/>
      <c r="N17" s="12"/>
      <c r="O17" s="12"/>
      <c r="P17" s="64"/>
      <c r="Q17" s="64"/>
      <c r="R17" s="64"/>
      <c r="S17" s="6"/>
      <c r="T17" s="6"/>
      <c r="U17" s="6"/>
      <c r="V17" s="6"/>
      <c r="W17" s="6"/>
      <c r="X17" s="6"/>
    </row>
    <row r="18" spans="1:30" ht="14.4" customHeight="1" x14ac:dyDescent="0.55000000000000004">
      <c r="A18" s="146"/>
      <c r="B18" s="96"/>
      <c r="C18" s="156" t="s">
        <v>272</v>
      </c>
      <c r="D18" s="157" t="s">
        <v>432</v>
      </c>
      <c r="E18" s="157" t="s">
        <v>98</v>
      </c>
      <c r="F18" s="157" t="s">
        <v>581</v>
      </c>
      <c r="G18" s="12"/>
      <c r="H18" s="140"/>
      <c r="I18" s="130" t="s">
        <v>243</v>
      </c>
      <c r="J18" s="6"/>
      <c r="K18" s="157" t="s">
        <v>248</v>
      </c>
      <c r="L18" s="157" t="s">
        <v>247</v>
      </c>
      <c r="M18" s="157" t="s">
        <v>193</v>
      </c>
      <c r="N18" s="157" t="s">
        <v>241</v>
      </c>
      <c r="O18" s="157" t="s">
        <v>242</v>
      </c>
      <c r="P18" s="96"/>
      <c r="Q18" s="96"/>
      <c r="R18" s="155"/>
      <c r="S18" s="152" t="s">
        <v>821</v>
      </c>
      <c r="T18" s="102"/>
      <c r="U18" s="102"/>
      <c r="V18" s="102"/>
      <c r="W18" s="102"/>
      <c r="X18" s="102"/>
    </row>
    <row r="19" spans="1:30" ht="14.4" customHeight="1" x14ac:dyDescent="0.55000000000000004">
      <c r="A19" s="146" t="s">
        <v>779</v>
      </c>
      <c r="B19" s="96" t="s">
        <v>779</v>
      </c>
      <c r="C19" s="158" t="s">
        <v>779</v>
      </c>
      <c r="D19" s="160" t="s">
        <v>779</v>
      </c>
      <c r="E19" s="154">
        <v>35724</v>
      </c>
      <c r="F19" s="135">
        <v>22</v>
      </c>
      <c r="G19" s="64" t="s">
        <v>779</v>
      </c>
      <c r="H19" s="155" t="s">
        <v>779</v>
      </c>
      <c r="I19" s="96" t="s">
        <v>160</v>
      </c>
      <c r="J19" s="96" t="s">
        <v>779</v>
      </c>
      <c r="K19" s="158">
        <v>42389</v>
      </c>
      <c r="L19" s="158" t="s">
        <v>779</v>
      </c>
      <c r="M19" s="158" t="s">
        <v>779</v>
      </c>
      <c r="N19" s="158" t="s">
        <v>779</v>
      </c>
      <c r="O19" s="158" t="s">
        <v>779</v>
      </c>
      <c r="P19" s="96"/>
      <c r="Q19" s="96"/>
      <c r="R19" s="155"/>
      <c r="S19" s="950" t="s">
        <v>822</v>
      </c>
      <c r="T19" s="950"/>
      <c r="U19" s="950"/>
      <c r="V19" s="950"/>
      <c r="W19" s="950"/>
      <c r="X19" s="950"/>
    </row>
    <row r="20" spans="1:30" x14ac:dyDescent="0.55000000000000004">
      <c r="A20" s="146" t="s">
        <v>779</v>
      </c>
      <c r="B20" s="159" t="s">
        <v>779</v>
      </c>
      <c r="C20" s="158">
        <v>44044</v>
      </c>
      <c r="D20" s="160" t="s">
        <v>249</v>
      </c>
      <c r="E20" s="154">
        <v>18884</v>
      </c>
      <c r="F20" s="135">
        <v>68</v>
      </c>
      <c r="G20" s="64" t="s">
        <v>779</v>
      </c>
      <c r="H20" s="155" t="s">
        <v>779</v>
      </c>
      <c r="I20" s="96" t="s">
        <v>158</v>
      </c>
      <c r="J20" s="96" t="s">
        <v>779</v>
      </c>
      <c r="K20" s="158" t="s">
        <v>779</v>
      </c>
      <c r="L20" s="158" t="s">
        <v>779</v>
      </c>
      <c r="M20" s="158" t="s">
        <v>779</v>
      </c>
      <c r="N20" s="158" t="s">
        <v>779</v>
      </c>
      <c r="O20" s="158" t="s">
        <v>779</v>
      </c>
      <c r="P20" s="96"/>
      <c r="Q20" s="96"/>
      <c r="R20" s="155"/>
      <c r="S20" s="950"/>
      <c r="T20" s="950"/>
      <c r="U20" s="950"/>
      <c r="V20" s="950"/>
      <c r="W20" s="950"/>
      <c r="X20" s="950"/>
    </row>
    <row r="21" spans="1:30" ht="14.4" customHeight="1" x14ac:dyDescent="0.55000000000000004">
      <c r="A21" s="146" t="s">
        <v>779</v>
      </c>
      <c r="B21" s="96" t="s">
        <v>779</v>
      </c>
      <c r="C21" s="158" t="s">
        <v>779</v>
      </c>
      <c r="D21" s="160" t="s">
        <v>779</v>
      </c>
      <c r="E21" s="154">
        <v>20489</v>
      </c>
      <c r="F21" s="135">
        <v>64</v>
      </c>
      <c r="G21" s="64" t="s">
        <v>779</v>
      </c>
      <c r="H21" s="155" t="s">
        <v>779</v>
      </c>
      <c r="I21" s="96" t="s">
        <v>157</v>
      </c>
      <c r="J21" s="96" t="s">
        <v>779</v>
      </c>
      <c r="K21" s="158" t="s">
        <v>779</v>
      </c>
      <c r="L21" s="158" t="s">
        <v>779</v>
      </c>
      <c r="M21" s="158" t="s">
        <v>779</v>
      </c>
      <c r="N21" s="158" t="s">
        <v>779</v>
      </c>
      <c r="O21" s="158">
        <v>41334</v>
      </c>
      <c r="P21" s="96"/>
      <c r="Q21" s="96"/>
      <c r="R21" s="155"/>
      <c r="S21" s="950" t="s">
        <v>586</v>
      </c>
      <c r="T21" s="950"/>
      <c r="U21" s="950"/>
      <c r="V21" s="950"/>
      <c r="W21" s="950"/>
      <c r="X21" s="950"/>
    </row>
    <row r="22" spans="1:30" x14ac:dyDescent="0.55000000000000004">
      <c r="A22" s="146" t="s">
        <v>779</v>
      </c>
      <c r="B22" s="96" t="s">
        <v>779</v>
      </c>
      <c r="C22" s="158" t="s">
        <v>779</v>
      </c>
      <c r="D22" s="160" t="s">
        <v>779</v>
      </c>
      <c r="E22" s="154">
        <v>26666</v>
      </c>
      <c r="F22" s="135">
        <v>47</v>
      </c>
      <c r="G22" s="64" t="s">
        <v>779</v>
      </c>
      <c r="H22" s="155" t="s">
        <v>779</v>
      </c>
      <c r="I22" s="96" t="s">
        <v>155</v>
      </c>
      <c r="J22" s="96" t="s">
        <v>779</v>
      </c>
      <c r="K22" s="158" t="s">
        <v>779</v>
      </c>
      <c r="L22" s="158" t="s">
        <v>779</v>
      </c>
      <c r="M22" s="158" t="s">
        <v>779</v>
      </c>
      <c r="N22" s="548">
        <v>40394</v>
      </c>
      <c r="O22" s="158" t="s">
        <v>779</v>
      </c>
      <c r="P22" s="96"/>
      <c r="Q22" s="96"/>
      <c r="R22" s="155"/>
      <c r="S22" s="950"/>
      <c r="T22" s="950"/>
      <c r="U22" s="950"/>
      <c r="V22" s="950"/>
      <c r="W22" s="950"/>
      <c r="X22" s="950"/>
    </row>
    <row r="23" spans="1:30" x14ac:dyDescent="0.55000000000000004">
      <c r="A23" s="146" t="s">
        <v>779</v>
      </c>
      <c r="B23" s="96" t="s">
        <v>779</v>
      </c>
      <c r="C23" s="158">
        <v>44075</v>
      </c>
      <c r="D23" s="160" t="s">
        <v>407</v>
      </c>
      <c r="E23" s="154">
        <v>27990</v>
      </c>
      <c r="F23" s="135">
        <v>43</v>
      </c>
      <c r="G23" s="64" t="s">
        <v>779</v>
      </c>
      <c r="H23" s="155" t="s">
        <v>779</v>
      </c>
      <c r="I23" s="96" t="s">
        <v>153</v>
      </c>
      <c r="J23" s="96" t="s">
        <v>779</v>
      </c>
      <c r="K23" s="158" t="s">
        <v>779</v>
      </c>
      <c r="L23" s="158" t="s">
        <v>779</v>
      </c>
      <c r="M23" s="158" t="s">
        <v>779</v>
      </c>
      <c r="N23" s="158" t="s">
        <v>779</v>
      </c>
      <c r="O23" s="158" t="s">
        <v>779</v>
      </c>
      <c r="P23" s="96"/>
      <c r="Q23" s="96"/>
      <c r="R23" s="155"/>
      <c r="S23" s="950"/>
      <c r="T23" s="950"/>
      <c r="U23" s="950"/>
      <c r="V23" s="950"/>
      <c r="W23" s="950"/>
      <c r="X23" s="950"/>
    </row>
    <row r="24" spans="1:30" x14ac:dyDescent="0.55000000000000004">
      <c r="A24" s="146" t="s">
        <v>779</v>
      </c>
      <c r="B24" s="96" t="s">
        <v>779</v>
      </c>
      <c r="C24" s="158" t="s">
        <v>779</v>
      </c>
      <c r="D24" s="160" t="s">
        <v>779</v>
      </c>
      <c r="E24" s="154">
        <v>25960</v>
      </c>
      <c r="F24" s="135">
        <v>49</v>
      </c>
      <c r="G24" s="64" t="s">
        <v>779</v>
      </c>
      <c r="H24" s="155" t="s">
        <v>779</v>
      </c>
      <c r="I24" s="96" t="s">
        <v>151</v>
      </c>
      <c r="J24" s="96" t="s">
        <v>779</v>
      </c>
      <c r="K24" s="158" t="s">
        <v>779</v>
      </c>
      <c r="L24" s="158" t="s">
        <v>779</v>
      </c>
      <c r="M24" s="158" t="s">
        <v>779</v>
      </c>
      <c r="N24" s="158">
        <v>35309</v>
      </c>
      <c r="O24" s="158" t="s">
        <v>779</v>
      </c>
      <c r="P24" s="96"/>
      <c r="Q24" s="96"/>
      <c r="R24" s="155"/>
      <c r="S24" s="950"/>
      <c r="T24" s="950"/>
      <c r="U24" s="950"/>
      <c r="V24" s="950"/>
      <c r="W24" s="950"/>
      <c r="X24" s="950"/>
    </row>
    <row r="25" spans="1:30" x14ac:dyDescent="0.55000000000000004">
      <c r="A25" s="146" t="s">
        <v>779</v>
      </c>
      <c r="B25" s="96" t="s">
        <v>779</v>
      </c>
      <c r="C25" s="158" t="s">
        <v>779</v>
      </c>
      <c r="D25" s="160" t="s">
        <v>779</v>
      </c>
      <c r="E25" s="154">
        <v>31521</v>
      </c>
      <c r="F25" s="135">
        <v>34</v>
      </c>
      <c r="G25" s="64" t="s">
        <v>779</v>
      </c>
      <c r="H25" s="155" t="s">
        <v>779</v>
      </c>
      <c r="I25" s="96" t="s">
        <v>150</v>
      </c>
      <c r="J25" s="96" t="s">
        <v>779</v>
      </c>
      <c r="K25" s="158" t="s">
        <v>779</v>
      </c>
      <c r="L25" s="158">
        <v>42074</v>
      </c>
      <c r="M25" s="158" t="s">
        <v>779</v>
      </c>
      <c r="N25" s="158" t="s">
        <v>779</v>
      </c>
      <c r="O25" s="158" t="s">
        <v>779</v>
      </c>
      <c r="P25" s="96"/>
      <c r="Q25" s="96"/>
      <c r="R25" s="155"/>
      <c r="S25" s="950"/>
      <c r="T25" s="950"/>
      <c r="U25" s="950"/>
      <c r="V25" s="950"/>
      <c r="W25" s="950"/>
      <c r="X25" s="950"/>
    </row>
    <row r="26" spans="1:30" x14ac:dyDescent="0.55000000000000004">
      <c r="A26" s="146" t="s">
        <v>779</v>
      </c>
      <c r="B26" s="96" t="s">
        <v>779</v>
      </c>
      <c r="C26" s="158" t="s">
        <v>779</v>
      </c>
      <c r="D26" s="160" t="s">
        <v>820</v>
      </c>
      <c r="E26" s="154">
        <v>27904</v>
      </c>
      <c r="F26" s="135">
        <v>44</v>
      </c>
      <c r="G26" s="64" t="s">
        <v>779</v>
      </c>
      <c r="H26" s="155" t="s">
        <v>779</v>
      </c>
      <c r="I26" s="96" t="s">
        <v>149</v>
      </c>
      <c r="J26" s="96" t="s">
        <v>779</v>
      </c>
      <c r="K26" s="158" t="s">
        <v>779</v>
      </c>
      <c r="L26" s="158" t="s">
        <v>779</v>
      </c>
      <c r="M26" s="158" t="s">
        <v>779</v>
      </c>
      <c r="N26" s="158" t="s">
        <v>779</v>
      </c>
      <c r="O26" s="158" t="s">
        <v>779</v>
      </c>
      <c r="P26" s="96"/>
      <c r="Q26" s="96"/>
      <c r="R26" s="155"/>
      <c r="S26" s="950"/>
      <c r="T26" s="950"/>
      <c r="U26" s="950"/>
      <c r="V26" s="950"/>
      <c r="W26" s="950"/>
      <c r="X26" s="950"/>
    </row>
    <row r="27" spans="1:30" x14ac:dyDescent="0.55000000000000004">
      <c r="A27" s="146" t="s">
        <v>779</v>
      </c>
      <c r="B27" s="96" t="s">
        <v>779</v>
      </c>
      <c r="C27" s="158" t="s">
        <v>779</v>
      </c>
      <c r="D27" s="160" t="s">
        <v>779</v>
      </c>
      <c r="E27" s="154">
        <v>28252</v>
      </c>
      <c r="F27" s="135">
        <v>43</v>
      </c>
      <c r="G27" s="64" t="s">
        <v>779</v>
      </c>
      <c r="H27" s="155" t="s">
        <v>779</v>
      </c>
      <c r="I27" s="96" t="s">
        <v>147</v>
      </c>
      <c r="J27" s="96" t="s">
        <v>779</v>
      </c>
      <c r="K27" s="158" t="s">
        <v>779</v>
      </c>
      <c r="L27" s="158" t="s">
        <v>779</v>
      </c>
      <c r="M27" s="158">
        <v>37438</v>
      </c>
      <c r="N27" s="158" t="s">
        <v>779</v>
      </c>
      <c r="O27" s="158" t="s">
        <v>779</v>
      </c>
      <c r="P27" s="96"/>
      <c r="Q27" s="96"/>
      <c r="R27" s="155"/>
      <c r="S27" s="950"/>
      <c r="T27" s="950"/>
      <c r="U27" s="950"/>
      <c r="V27" s="950"/>
      <c r="W27" s="950"/>
      <c r="X27" s="950"/>
    </row>
    <row r="28" spans="1:30" x14ac:dyDescent="0.55000000000000004">
      <c r="A28" s="146" t="s">
        <v>779</v>
      </c>
      <c r="B28" s="96" t="s">
        <v>779</v>
      </c>
      <c r="C28" s="158">
        <v>44287</v>
      </c>
      <c r="D28" s="160" t="s">
        <v>779</v>
      </c>
      <c r="E28" s="154">
        <v>31834</v>
      </c>
      <c r="F28" s="135">
        <v>33</v>
      </c>
      <c r="G28" s="64" t="s">
        <v>779</v>
      </c>
      <c r="H28" s="155" t="s">
        <v>779</v>
      </c>
      <c r="I28" s="96" t="s">
        <v>146</v>
      </c>
      <c r="J28" s="96" t="s">
        <v>779</v>
      </c>
      <c r="K28" s="158" t="s">
        <v>779</v>
      </c>
      <c r="L28" s="158">
        <v>42401</v>
      </c>
      <c r="M28" s="158" t="s">
        <v>779</v>
      </c>
      <c r="N28" s="158" t="s">
        <v>779</v>
      </c>
      <c r="O28" s="158" t="s">
        <v>779</v>
      </c>
      <c r="P28" s="96"/>
      <c r="Q28" s="96"/>
      <c r="R28" s="155"/>
      <c r="S28" s="950"/>
      <c r="T28" s="950"/>
      <c r="U28" s="950"/>
      <c r="V28" s="950"/>
      <c r="W28" s="950"/>
      <c r="X28" s="950"/>
    </row>
    <row r="29" spans="1:30" x14ac:dyDescent="0.55000000000000004">
      <c r="A29" s="146" t="s">
        <v>779</v>
      </c>
      <c r="B29" s="96" t="s">
        <v>779</v>
      </c>
      <c r="C29" s="158" t="s">
        <v>779</v>
      </c>
      <c r="D29" s="160" t="s">
        <v>779</v>
      </c>
      <c r="E29" s="154">
        <v>29721</v>
      </c>
      <c r="F29" s="135">
        <v>39</v>
      </c>
      <c r="G29" s="64" t="s">
        <v>779</v>
      </c>
      <c r="H29" s="155" t="s">
        <v>779</v>
      </c>
      <c r="I29" s="96" t="s">
        <v>144</v>
      </c>
      <c r="J29" s="96" t="s">
        <v>779</v>
      </c>
      <c r="K29" s="158" t="s">
        <v>779</v>
      </c>
      <c r="L29" s="158" t="s">
        <v>779</v>
      </c>
      <c r="M29" s="548">
        <v>38025</v>
      </c>
      <c r="N29" s="158" t="s">
        <v>779</v>
      </c>
      <c r="O29" s="158" t="s">
        <v>779</v>
      </c>
      <c r="P29" s="96"/>
      <c r="Q29" s="96"/>
      <c r="R29" s="155"/>
      <c r="S29" s="950"/>
      <c r="T29" s="950"/>
      <c r="U29" s="950"/>
      <c r="V29" s="950"/>
      <c r="W29" s="950"/>
      <c r="X29" s="950"/>
    </row>
    <row r="30" spans="1:30" x14ac:dyDescent="0.55000000000000004">
      <c r="A30" s="146" t="s">
        <v>779</v>
      </c>
      <c r="B30" s="96" t="s">
        <v>779</v>
      </c>
      <c r="C30" s="158">
        <v>44075</v>
      </c>
      <c r="D30" s="160" t="s">
        <v>256</v>
      </c>
      <c r="E30" s="154">
        <v>33942</v>
      </c>
      <c r="F30" s="135">
        <v>27</v>
      </c>
      <c r="G30" s="64" t="s">
        <v>779</v>
      </c>
      <c r="H30" s="155" t="s">
        <v>779</v>
      </c>
      <c r="I30" s="96" t="s">
        <v>414</v>
      </c>
      <c r="J30" s="96" t="s">
        <v>779</v>
      </c>
      <c r="K30" s="158" t="s">
        <v>779</v>
      </c>
      <c r="L30" s="158" t="s">
        <v>779</v>
      </c>
      <c r="M30" s="158" t="s">
        <v>779</v>
      </c>
      <c r="N30" s="158" t="s">
        <v>779</v>
      </c>
      <c r="O30" s="158" t="s">
        <v>779</v>
      </c>
      <c r="P30" s="96"/>
      <c r="Q30" s="96"/>
      <c r="R30" s="155"/>
      <c r="S30" s="950"/>
      <c r="T30" s="950"/>
      <c r="U30" s="950"/>
      <c r="V30" s="950"/>
      <c r="W30" s="950"/>
      <c r="X30" s="950"/>
    </row>
    <row r="31" spans="1:30" x14ac:dyDescent="0.55000000000000004">
      <c r="A31" s="146" t="s">
        <v>779</v>
      </c>
      <c r="B31" s="96" t="s">
        <v>779</v>
      </c>
      <c r="C31" s="158" t="s">
        <v>779</v>
      </c>
      <c r="D31" s="160" t="s">
        <v>779</v>
      </c>
      <c r="E31" s="154">
        <v>33348</v>
      </c>
      <c r="F31" s="135">
        <v>29</v>
      </c>
      <c r="G31" s="64" t="s">
        <v>779</v>
      </c>
      <c r="H31" s="155" t="s">
        <v>779</v>
      </c>
      <c r="I31" s="96" t="s">
        <v>777</v>
      </c>
      <c r="J31" s="96" t="s">
        <v>779</v>
      </c>
      <c r="K31" s="158" t="s">
        <v>779</v>
      </c>
      <c r="L31" s="548">
        <v>42461</v>
      </c>
      <c r="M31" s="158" t="s">
        <v>779</v>
      </c>
      <c r="N31" s="158" t="s">
        <v>779</v>
      </c>
      <c r="O31" s="158" t="s">
        <v>779</v>
      </c>
      <c r="P31" s="96"/>
      <c r="Q31" s="96"/>
      <c r="R31" s="155"/>
      <c r="S31" s="950"/>
      <c r="T31" s="950"/>
      <c r="U31" s="950"/>
      <c r="V31" s="950"/>
      <c r="W31" s="950"/>
      <c r="X31" s="950"/>
      <c r="Y31" s="134"/>
      <c r="Z31" s="134"/>
      <c r="AA31" s="134"/>
      <c r="AB31" s="134"/>
      <c r="AC31" s="134"/>
      <c r="AD31" s="134"/>
    </row>
    <row r="32" spans="1:30" x14ac:dyDescent="0.55000000000000004">
      <c r="A32" s="146" t="s">
        <v>779</v>
      </c>
      <c r="B32" s="96" t="s">
        <v>779</v>
      </c>
      <c r="C32" s="158" t="s">
        <v>779</v>
      </c>
      <c r="D32" s="160" t="s">
        <v>406</v>
      </c>
      <c r="E32" s="154" t="s">
        <v>320</v>
      </c>
      <c r="F32" s="135" t="s">
        <v>515</v>
      </c>
      <c r="G32" s="64" t="s">
        <v>779</v>
      </c>
      <c r="H32" s="155" t="s">
        <v>779</v>
      </c>
      <c r="I32" s="96" t="s">
        <v>142</v>
      </c>
      <c r="J32" s="96" t="s">
        <v>779</v>
      </c>
      <c r="K32" s="158" t="s">
        <v>779</v>
      </c>
      <c r="L32" s="158" t="s">
        <v>779</v>
      </c>
      <c r="M32" s="158" t="s">
        <v>779</v>
      </c>
      <c r="N32" s="158" t="s">
        <v>779</v>
      </c>
      <c r="O32" s="158" t="s">
        <v>779</v>
      </c>
      <c r="P32" s="96"/>
      <c r="Q32" s="96"/>
      <c r="R32" s="155"/>
      <c r="S32" s="950"/>
      <c r="T32" s="950"/>
      <c r="U32" s="950"/>
      <c r="V32" s="950"/>
      <c r="W32" s="950"/>
      <c r="X32" s="950"/>
      <c r="Y32" s="134"/>
      <c r="Z32" s="134"/>
      <c r="AA32" s="134"/>
      <c r="AB32" s="134"/>
      <c r="AC32" s="134"/>
      <c r="AD32" s="134"/>
    </row>
    <row r="33" spans="1:30" x14ac:dyDescent="0.55000000000000004">
      <c r="A33" s="146" t="e">
        <v>#REF!</v>
      </c>
      <c r="B33" s="96" t="s">
        <v>779</v>
      </c>
      <c r="C33" s="158" t="s">
        <v>779</v>
      </c>
      <c r="D33" s="160" t="s">
        <v>779</v>
      </c>
      <c r="E33" s="154">
        <v>27229</v>
      </c>
      <c r="F33" s="135">
        <v>45</v>
      </c>
      <c r="G33" s="64" t="s">
        <v>779</v>
      </c>
      <c r="H33" s="155" t="s">
        <v>779</v>
      </c>
      <c r="I33" s="96" t="s">
        <v>140</v>
      </c>
      <c r="J33" s="96" t="s">
        <v>779</v>
      </c>
      <c r="K33" s="158" t="s">
        <v>779</v>
      </c>
      <c r="L33" s="158" t="s">
        <v>779</v>
      </c>
      <c r="M33" s="158" t="s">
        <v>779</v>
      </c>
      <c r="N33" s="158">
        <v>33725</v>
      </c>
      <c r="O33" s="158" t="s">
        <v>779</v>
      </c>
      <c r="P33" s="96"/>
      <c r="Q33" s="96"/>
      <c r="R33" s="155"/>
      <c r="S33" s="134"/>
      <c r="T33" s="134"/>
      <c r="U33" s="134"/>
      <c r="V33" s="134"/>
      <c r="W33" s="134"/>
      <c r="X33" s="134"/>
      <c r="Y33" s="134"/>
      <c r="Z33" s="134"/>
      <c r="AA33" s="134"/>
      <c r="AB33" s="134"/>
      <c r="AC33" s="134"/>
      <c r="AD33" s="134"/>
    </row>
    <row r="34" spans="1:30" x14ac:dyDescent="0.55000000000000004">
      <c r="A34" s="145" t="s">
        <v>779</v>
      </c>
      <c r="B34" s="96" t="s">
        <v>779</v>
      </c>
      <c r="C34" s="158" t="s">
        <v>779</v>
      </c>
      <c r="D34" s="160" t="s">
        <v>779</v>
      </c>
      <c r="E34" s="154" t="s">
        <v>779</v>
      </c>
      <c r="F34" s="135" t="s">
        <v>779</v>
      </c>
      <c r="G34" s="64" t="s">
        <v>779</v>
      </c>
      <c r="H34" s="155" t="s">
        <v>779</v>
      </c>
      <c r="I34" s="96" t="s">
        <v>779</v>
      </c>
      <c r="J34" s="96" t="s">
        <v>779</v>
      </c>
      <c r="K34" s="158" t="s">
        <v>779</v>
      </c>
      <c r="L34" s="158" t="s">
        <v>779</v>
      </c>
      <c r="M34" s="158" t="s">
        <v>779</v>
      </c>
      <c r="N34" s="158" t="s">
        <v>779</v>
      </c>
      <c r="O34" s="158" t="s">
        <v>779</v>
      </c>
      <c r="P34" s="96"/>
      <c r="Q34" s="96"/>
      <c r="R34" s="155"/>
      <c r="S34" s="99" t="s">
        <v>823</v>
      </c>
      <c r="T34" s="134"/>
      <c r="U34" s="134"/>
      <c r="V34" s="134"/>
      <c r="W34" s="134"/>
      <c r="X34" s="134"/>
    </row>
    <row r="35" spans="1:30" ht="14.4" customHeight="1" x14ac:dyDescent="0.55000000000000004">
      <c r="A35" s="145" t="s">
        <v>779</v>
      </c>
      <c r="B35" s="96" t="s">
        <v>779</v>
      </c>
      <c r="C35" s="158" t="s">
        <v>779</v>
      </c>
      <c r="D35" s="160" t="s">
        <v>779</v>
      </c>
      <c r="E35" s="154" t="s">
        <v>779</v>
      </c>
      <c r="F35" s="135" t="s">
        <v>779</v>
      </c>
      <c r="G35" s="64" t="s">
        <v>779</v>
      </c>
      <c r="H35" s="155" t="s">
        <v>779</v>
      </c>
      <c r="I35" s="96" t="s">
        <v>779</v>
      </c>
      <c r="J35" s="96" t="s">
        <v>779</v>
      </c>
      <c r="K35" s="158" t="s">
        <v>779</v>
      </c>
      <c r="L35" s="158" t="s">
        <v>779</v>
      </c>
      <c r="M35" s="158" t="s">
        <v>779</v>
      </c>
      <c r="N35" s="158" t="s">
        <v>779</v>
      </c>
      <c r="O35" s="158" t="s">
        <v>779</v>
      </c>
      <c r="P35" s="96"/>
      <c r="Q35" s="96"/>
      <c r="R35" s="155"/>
      <c r="S35" s="952" t="s">
        <v>824</v>
      </c>
      <c r="T35" s="952"/>
      <c r="U35" s="952"/>
      <c r="V35" s="952"/>
      <c r="W35" s="952"/>
      <c r="X35" s="952"/>
    </row>
    <row r="36" spans="1:30" x14ac:dyDescent="0.55000000000000004">
      <c r="A36" s="145" t="s">
        <v>779</v>
      </c>
      <c r="B36" s="96" t="s">
        <v>779</v>
      </c>
      <c r="C36" s="158" t="s">
        <v>779</v>
      </c>
      <c r="D36" s="160" t="s">
        <v>779</v>
      </c>
      <c r="E36" s="154" t="s">
        <v>779</v>
      </c>
      <c r="F36" s="135" t="s">
        <v>779</v>
      </c>
      <c r="G36" s="64" t="s">
        <v>779</v>
      </c>
      <c r="H36" s="155" t="s">
        <v>779</v>
      </c>
      <c r="I36" s="96" t="s">
        <v>779</v>
      </c>
      <c r="J36" s="96" t="s">
        <v>779</v>
      </c>
      <c r="K36" s="158" t="s">
        <v>779</v>
      </c>
      <c r="L36" s="158" t="s">
        <v>779</v>
      </c>
      <c r="M36" s="158" t="s">
        <v>779</v>
      </c>
      <c r="N36" s="158" t="s">
        <v>779</v>
      </c>
      <c r="O36" s="158" t="s">
        <v>779</v>
      </c>
      <c r="P36" s="96"/>
      <c r="Q36" s="96"/>
      <c r="R36" s="155"/>
      <c r="S36" s="952"/>
      <c r="T36" s="952"/>
      <c r="U36" s="952"/>
      <c r="V36" s="952"/>
      <c r="W36" s="952"/>
      <c r="X36" s="952"/>
    </row>
    <row r="37" spans="1:30" x14ac:dyDescent="0.55000000000000004">
      <c r="A37" s="145" t="s">
        <v>779</v>
      </c>
      <c r="B37" s="96" t="s">
        <v>779</v>
      </c>
      <c r="C37" s="158" t="s">
        <v>779</v>
      </c>
      <c r="D37" s="160" t="s">
        <v>779</v>
      </c>
      <c r="E37" s="154" t="s">
        <v>779</v>
      </c>
      <c r="F37" s="135" t="s">
        <v>779</v>
      </c>
      <c r="G37" s="64" t="s">
        <v>779</v>
      </c>
      <c r="H37" s="155" t="s">
        <v>779</v>
      </c>
      <c r="I37" s="96" t="s">
        <v>779</v>
      </c>
      <c r="J37" s="96" t="s">
        <v>779</v>
      </c>
      <c r="K37" s="158" t="s">
        <v>779</v>
      </c>
      <c r="L37" s="158" t="s">
        <v>779</v>
      </c>
      <c r="M37" s="158" t="s">
        <v>779</v>
      </c>
      <c r="N37" s="158" t="s">
        <v>779</v>
      </c>
      <c r="O37" s="158" t="s">
        <v>779</v>
      </c>
      <c r="P37" s="96"/>
      <c r="Q37" s="96"/>
      <c r="R37" s="155"/>
      <c r="S37" s="952"/>
      <c r="T37" s="952"/>
      <c r="U37" s="952"/>
      <c r="V37" s="952"/>
      <c r="W37" s="952"/>
      <c r="X37" s="952"/>
    </row>
    <row r="38" spans="1:30" x14ac:dyDescent="0.55000000000000004">
      <c r="A38" s="6" t="s">
        <v>779</v>
      </c>
      <c r="B38" s="96" t="s">
        <v>779</v>
      </c>
      <c r="C38" s="158" t="s">
        <v>779</v>
      </c>
      <c r="D38" s="160" t="s">
        <v>779</v>
      </c>
      <c r="E38" s="154" t="s">
        <v>779</v>
      </c>
      <c r="F38" s="135" t="s">
        <v>779</v>
      </c>
      <c r="G38" s="64" t="s">
        <v>779</v>
      </c>
      <c r="H38" s="155" t="s">
        <v>779</v>
      </c>
      <c r="I38" s="96" t="s">
        <v>779</v>
      </c>
      <c r="J38" s="96" t="s">
        <v>779</v>
      </c>
      <c r="K38" s="158" t="s">
        <v>779</v>
      </c>
      <c r="L38" s="158" t="s">
        <v>779</v>
      </c>
      <c r="M38" s="158" t="s">
        <v>779</v>
      </c>
      <c r="N38" s="158" t="s">
        <v>779</v>
      </c>
      <c r="O38" s="158" t="s">
        <v>779</v>
      </c>
      <c r="P38" s="96"/>
      <c r="Q38" s="96"/>
      <c r="R38" s="155"/>
      <c r="S38" s="952"/>
      <c r="T38" s="952"/>
      <c r="U38" s="952"/>
      <c r="V38" s="952"/>
      <c r="W38" s="952"/>
      <c r="X38" s="952"/>
    </row>
    <row r="39" spans="1:30" x14ac:dyDescent="0.55000000000000004">
      <c r="A39" s="6" t="s">
        <v>779</v>
      </c>
      <c r="B39" s="96" t="s">
        <v>779</v>
      </c>
      <c r="C39" s="158" t="s">
        <v>779</v>
      </c>
      <c r="D39" s="160" t="s">
        <v>779</v>
      </c>
      <c r="E39" s="154" t="s">
        <v>779</v>
      </c>
      <c r="F39" s="135" t="s">
        <v>779</v>
      </c>
      <c r="G39" s="64" t="s">
        <v>779</v>
      </c>
      <c r="H39" s="155" t="s">
        <v>779</v>
      </c>
      <c r="I39" s="96" t="s">
        <v>779</v>
      </c>
      <c r="J39" s="96" t="s">
        <v>779</v>
      </c>
      <c r="K39" s="158" t="s">
        <v>779</v>
      </c>
      <c r="L39" s="158" t="s">
        <v>779</v>
      </c>
      <c r="M39" s="158" t="s">
        <v>779</v>
      </c>
      <c r="N39" s="158" t="s">
        <v>779</v>
      </c>
      <c r="O39" s="158" t="s">
        <v>779</v>
      </c>
      <c r="P39" s="96"/>
      <c r="Q39" s="96"/>
      <c r="R39" s="155"/>
      <c r="S39" s="99" t="s">
        <v>825</v>
      </c>
      <c r="T39" s="102"/>
      <c r="U39" s="102"/>
      <c r="V39" s="102"/>
      <c r="W39" s="102"/>
      <c r="X39" s="102"/>
    </row>
    <row r="40" spans="1:30" ht="14.4" customHeight="1" x14ac:dyDescent="0.55000000000000004">
      <c r="A40" s="6" t="s">
        <v>779</v>
      </c>
      <c r="B40" s="96" t="s">
        <v>779</v>
      </c>
      <c r="C40" s="158" t="s">
        <v>779</v>
      </c>
      <c r="D40" s="160" t="s">
        <v>779</v>
      </c>
      <c r="E40" s="154" t="s">
        <v>779</v>
      </c>
      <c r="F40" s="135" t="s">
        <v>779</v>
      </c>
      <c r="G40" s="64" t="s">
        <v>779</v>
      </c>
      <c r="H40" s="155" t="s">
        <v>779</v>
      </c>
      <c r="I40" s="96" t="s">
        <v>779</v>
      </c>
      <c r="J40" s="96" t="s">
        <v>779</v>
      </c>
      <c r="K40" s="158" t="s">
        <v>779</v>
      </c>
      <c r="L40" s="158" t="s">
        <v>779</v>
      </c>
      <c r="M40" s="158" t="s">
        <v>779</v>
      </c>
      <c r="N40" s="158" t="s">
        <v>779</v>
      </c>
      <c r="O40" s="158" t="s">
        <v>779</v>
      </c>
      <c r="P40" s="96"/>
      <c r="Q40" s="96"/>
      <c r="R40" s="155"/>
      <c r="S40" s="952" t="s">
        <v>826</v>
      </c>
      <c r="T40" s="952"/>
      <c r="U40" s="952"/>
      <c r="V40" s="952"/>
      <c r="W40" s="952"/>
      <c r="X40" s="952"/>
    </row>
    <row r="41" spans="1:30" x14ac:dyDescent="0.55000000000000004">
      <c r="A41" s="6" t="s">
        <v>779</v>
      </c>
      <c r="B41" s="96" t="s">
        <v>779</v>
      </c>
      <c r="C41" s="158" t="s">
        <v>779</v>
      </c>
      <c r="D41" s="160" t="s">
        <v>779</v>
      </c>
      <c r="E41" s="154" t="s">
        <v>779</v>
      </c>
      <c r="F41" s="135" t="s">
        <v>779</v>
      </c>
      <c r="G41" s="64" t="s">
        <v>779</v>
      </c>
      <c r="H41" s="155" t="s">
        <v>779</v>
      </c>
      <c r="I41" s="96" t="s">
        <v>779</v>
      </c>
      <c r="J41" s="96" t="s">
        <v>779</v>
      </c>
      <c r="K41" s="158" t="s">
        <v>779</v>
      </c>
      <c r="L41" s="158" t="s">
        <v>779</v>
      </c>
      <c r="M41" s="158" t="s">
        <v>779</v>
      </c>
      <c r="N41" s="158" t="s">
        <v>779</v>
      </c>
      <c r="O41" s="158" t="s">
        <v>779</v>
      </c>
      <c r="P41" s="96"/>
      <c r="Q41" s="96"/>
      <c r="R41" s="155"/>
      <c r="S41" s="952"/>
      <c r="T41" s="952"/>
      <c r="U41" s="952"/>
      <c r="V41" s="952"/>
      <c r="W41" s="952"/>
      <c r="X41" s="952"/>
    </row>
    <row r="42" spans="1:30" x14ac:dyDescent="0.55000000000000004">
      <c r="A42" s="6" t="s">
        <v>779</v>
      </c>
      <c r="B42" s="96" t="s">
        <v>779</v>
      </c>
      <c r="C42" s="158" t="s">
        <v>779</v>
      </c>
      <c r="D42" s="160" t="s">
        <v>779</v>
      </c>
      <c r="E42" s="154" t="s">
        <v>779</v>
      </c>
      <c r="F42" s="135" t="s">
        <v>779</v>
      </c>
      <c r="G42" s="64" t="s">
        <v>779</v>
      </c>
      <c r="H42" s="155" t="s">
        <v>779</v>
      </c>
      <c r="I42" s="96" t="s">
        <v>779</v>
      </c>
      <c r="J42" s="96" t="s">
        <v>779</v>
      </c>
      <c r="K42" s="158" t="s">
        <v>779</v>
      </c>
      <c r="L42" s="158" t="s">
        <v>779</v>
      </c>
      <c r="M42" s="158" t="s">
        <v>779</v>
      </c>
      <c r="N42" s="158" t="s">
        <v>779</v>
      </c>
      <c r="O42" s="158" t="s">
        <v>779</v>
      </c>
      <c r="P42" s="96"/>
      <c r="Q42" s="96"/>
      <c r="R42" s="155"/>
      <c r="S42" s="952"/>
      <c r="T42" s="952"/>
      <c r="U42" s="952"/>
      <c r="V42" s="952"/>
      <c r="W42" s="952"/>
      <c r="X42" s="952"/>
    </row>
    <row r="43" spans="1:30" x14ac:dyDescent="0.55000000000000004">
      <c r="A43" s="6" t="s">
        <v>779</v>
      </c>
      <c r="B43" s="96" t="s">
        <v>779</v>
      </c>
      <c r="C43" s="158" t="s">
        <v>779</v>
      </c>
      <c r="D43" s="160" t="s">
        <v>779</v>
      </c>
      <c r="E43" s="154" t="s">
        <v>779</v>
      </c>
      <c r="F43" s="135" t="s">
        <v>779</v>
      </c>
      <c r="G43" s="64" t="s">
        <v>779</v>
      </c>
      <c r="H43" s="155" t="s">
        <v>779</v>
      </c>
      <c r="I43" s="96" t="s">
        <v>779</v>
      </c>
      <c r="J43" s="96" t="s">
        <v>779</v>
      </c>
      <c r="K43" s="158" t="s">
        <v>779</v>
      </c>
      <c r="L43" s="158" t="s">
        <v>779</v>
      </c>
      <c r="M43" s="158" t="s">
        <v>779</v>
      </c>
      <c r="N43" s="158" t="s">
        <v>779</v>
      </c>
      <c r="O43" s="158" t="s">
        <v>779</v>
      </c>
      <c r="P43" s="96"/>
      <c r="Q43" s="96"/>
      <c r="R43" s="155"/>
      <c r="S43" s="952"/>
      <c r="T43" s="952"/>
      <c r="U43" s="952"/>
      <c r="V43" s="952"/>
      <c r="W43" s="952"/>
      <c r="X43" s="952"/>
    </row>
    <row r="44" spans="1:30" x14ac:dyDescent="0.55000000000000004">
      <c r="A44" s="6" t="s">
        <v>779</v>
      </c>
      <c r="B44" s="96" t="s">
        <v>779</v>
      </c>
      <c r="C44" s="158" t="s">
        <v>779</v>
      </c>
      <c r="D44" s="160" t="s">
        <v>779</v>
      </c>
      <c r="E44" s="154" t="s">
        <v>779</v>
      </c>
      <c r="F44" s="135" t="s">
        <v>779</v>
      </c>
      <c r="G44" s="64" t="s">
        <v>779</v>
      </c>
      <c r="H44" s="155" t="s">
        <v>779</v>
      </c>
      <c r="I44" s="96" t="s">
        <v>779</v>
      </c>
      <c r="J44" s="96" t="s">
        <v>779</v>
      </c>
      <c r="K44" s="158" t="s">
        <v>779</v>
      </c>
      <c r="L44" s="158" t="s">
        <v>779</v>
      </c>
      <c r="M44" s="158" t="s">
        <v>779</v>
      </c>
      <c r="N44" s="158" t="s">
        <v>779</v>
      </c>
      <c r="O44" s="158" t="s">
        <v>779</v>
      </c>
      <c r="P44" s="96"/>
      <c r="Q44" s="96"/>
      <c r="R44" s="155"/>
      <c r="S44" s="952"/>
      <c r="T44" s="952"/>
      <c r="U44" s="952"/>
      <c r="V44" s="952"/>
      <c r="W44" s="952"/>
      <c r="X44" s="952"/>
    </row>
    <row r="45" spans="1:30" x14ac:dyDescent="0.55000000000000004">
      <c r="A45" s="6" t="s">
        <v>779</v>
      </c>
      <c r="B45" s="96" t="s">
        <v>779</v>
      </c>
      <c r="C45" s="158" t="s">
        <v>779</v>
      </c>
      <c r="D45" s="160" t="s">
        <v>779</v>
      </c>
      <c r="E45" s="154" t="s">
        <v>779</v>
      </c>
      <c r="F45" s="135" t="s">
        <v>779</v>
      </c>
      <c r="G45" s="64" t="s">
        <v>779</v>
      </c>
      <c r="H45" s="155" t="s">
        <v>779</v>
      </c>
      <c r="I45" s="96" t="s">
        <v>779</v>
      </c>
      <c r="J45" s="96" t="s">
        <v>779</v>
      </c>
      <c r="K45" s="158" t="s">
        <v>779</v>
      </c>
      <c r="L45" s="158" t="s">
        <v>779</v>
      </c>
      <c r="M45" s="158" t="s">
        <v>779</v>
      </c>
      <c r="N45" s="158" t="s">
        <v>779</v>
      </c>
      <c r="O45" s="158" t="s">
        <v>779</v>
      </c>
      <c r="P45" s="96"/>
      <c r="Q45" s="96"/>
      <c r="R45" s="155"/>
      <c r="S45" s="952"/>
      <c r="T45" s="952"/>
      <c r="U45" s="952"/>
      <c r="V45" s="952"/>
      <c r="W45" s="952"/>
      <c r="X45" s="952"/>
    </row>
    <row r="46" spans="1:30" x14ac:dyDescent="0.55000000000000004">
      <c r="A46" s="6" t="s">
        <v>779</v>
      </c>
      <c r="B46" s="96" t="s">
        <v>779</v>
      </c>
      <c r="C46" s="158" t="s">
        <v>779</v>
      </c>
      <c r="D46" s="160" t="s">
        <v>779</v>
      </c>
      <c r="E46" s="154" t="s">
        <v>779</v>
      </c>
      <c r="F46" s="135" t="s">
        <v>779</v>
      </c>
      <c r="G46" s="64" t="s">
        <v>779</v>
      </c>
      <c r="H46" s="155" t="s">
        <v>779</v>
      </c>
      <c r="I46" s="96" t="s">
        <v>779</v>
      </c>
      <c r="J46" s="96" t="s">
        <v>779</v>
      </c>
      <c r="K46" s="158" t="s">
        <v>779</v>
      </c>
      <c r="L46" s="158" t="s">
        <v>779</v>
      </c>
      <c r="M46" s="158" t="s">
        <v>779</v>
      </c>
      <c r="N46" s="158" t="s">
        <v>779</v>
      </c>
      <c r="O46" s="158" t="s">
        <v>779</v>
      </c>
      <c r="P46" s="96"/>
      <c r="Q46" s="96"/>
      <c r="R46" s="155"/>
    </row>
    <row r="47" spans="1:30" x14ac:dyDescent="0.55000000000000004">
      <c r="A47" s="6" t="s">
        <v>779</v>
      </c>
      <c r="B47" s="96" t="s">
        <v>779</v>
      </c>
      <c r="C47" s="158" t="s">
        <v>779</v>
      </c>
      <c r="D47" s="160" t="s">
        <v>779</v>
      </c>
      <c r="E47" s="154" t="s">
        <v>779</v>
      </c>
      <c r="F47" s="135" t="s">
        <v>779</v>
      </c>
      <c r="G47" s="64" t="s">
        <v>779</v>
      </c>
      <c r="H47" s="155" t="s">
        <v>779</v>
      </c>
      <c r="I47" s="96" t="s">
        <v>779</v>
      </c>
      <c r="J47" s="96" t="s">
        <v>779</v>
      </c>
      <c r="K47" s="158" t="s">
        <v>779</v>
      </c>
      <c r="L47" s="158" t="s">
        <v>779</v>
      </c>
      <c r="M47" s="158" t="s">
        <v>779</v>
      </c>
      <c r="N47" s="158" t="s">
        <v>779</v>
      </c>
      <c r="O47" s="158" t="s">
        <v>779</v>
      </c>
      <c r="P47" s="96"/>
      <c r="Q47" s="96"/>
      <c r="R47" s="155"/>
    </row>
    <row r="48" spans="1:30" x14ac:dyDescent="0.55000000000000004">
      <c r="A48" s="6" t="s">
        <v>779</v>
      </c>
      <c r="B48" s="96" t="s">
        <v>779</v>
      </c>
      <c r="C48" s="158" t="s">
        <v>779</v>
      </c>
      <c r="D48" s="160" t="s">
        <v>779</v>
      </c>
      <c r="E48" s="154" t="s">
        <v>779</v>
      </c>
      <c r="F48" s="135" t="s">
        <v>779</v>
      </c>
      <c r="G48" s="64" t="s">
        <v>779</v>
      </c>
      <c r="H48" s="155" t="s">
        <v>779</v>
      </c>
      <c r="I48" s="96" t="s">
        <v>779</v>
      </c>
      <c r="J48" s="96" t="s">
        <v>779</v>
      </c>
      <c r="K48" s="158" t="s">
        <v>779</v>
      </c>
      <c r="L48" s="158" t="s">
        <v>779</v>
      </c>
      <c r="M48" s="158" t="s">
        <v>779</v>
      </c>
      <c r="N48" s="158" t="s">
        <v>779</v>
      </c>
      <c r="O48" s="158" t="s">
        <v>779</v>
      </c>
      <c r="P48" s="96"/>
      <c r="Q48" s="96"/>
      <c r="R48" s="155"/>
      <c r="S48" s="96"/>
      <c r="T48" s="96"/>
      <c r="U48" s="96"/>
      <c r="V48" s="96"/>
      <c r="W48" s="96"/>
      <c r="X48" s="96"/>
    </row>
    <row r="49" spans="1:24" x14ac:dyDescent="0.55000000000000004">
      <c r="A49" s="6" t="s">
        <v>779</v>
      </c>
      <c r="B49" s="96" t="s">
        <v>779</v>
      </c>
      <c r="C49" s="158" t="s">
        <v>779</v>
      </c>
      <c r="D49" s="160" t="s">
        <v>779</v>
      </c>
      <c r="E49" s="154" t="s">
        <v>779</v>
      </c>
      <c r="F49" s="135" t="s">
        <v>779</v>
      </c>
      <c r="G49" s="64" t="s">
        <v>779</v>
      </c>
      <c r="H49" s="155" t="s">
        <v>779</v>
      </c>
      <c r="I49" s="96" t="s">
        <v>779</v>
      </c>
      <c r="J49" s="96" t="s">
        <v>779</v>
      </c>
      <c r="K49" s="158" t="s">
        <v>779</v>
      </c>
      <c r="L49" s="158" t="s">
        <v>779</v>
      </c>
      <c r="M49" s="158" t="s">
        <v>779</v>
      </c>
      <c r="N49" s="158" t="s">
        <v>779</v>
      </c>
      <c r="O49" s="158" t="s">
        <v>779</v>
      </c>
      <c r="P49" s="96"/>
      <c r="Q49" s="96"/>
      <c r="R49" s="155"/>
      <c r="S49" s="96"/>
      <c r="T49" s="96"/>
      <c r="U49" s="96"/>
      <c r="V49" s="96"/>
      <c r="W49" s="96"/>
      <c r="X49" s="96"/>
    </row>
    <row r="50" spans="1:24" x14ac:dyDescent="0.55000000000000004">
      <c r="A50" s="6" t="s">
        <v>779</v>
      </c>
      <c r="B50" s="96" t="s">
        <v>779</v>
      </c>
      <c r="C50" s="158" t="s">
        <v>779</v>
      </c>
      <c r="D50" s="160" t="s">
        <v>779</v>
      </c>
      <c r="E50" s="154" t="s">
        <v>779</v>
      </c>
      <c r="F50" s="135" t="s">
        <v>779</v>
      </c>
      <c r="G50" s="64" t="s">
        <v>779</v>
      </c>
      <c r="H50" s="155" t="s">
        <v>779</v>
      </c>
      <c r="I50" s="96" t="s">
        <v>779</v>
      </c>
      <c r="J50" s="96" t="s">
        <v>779</v>
      </c>
      <c r="K50" s="158" t="s">
        <v>779</v>
      </c>
      <c r="L50" s="158" t="s">
        <v>779</v>
      </c>
      <c r="M50" s="158" t="s">
        <v>779</v>
      </c>
      <c r="N50" s="158" t="s">
        <v>779</v>
      </c>
      <c r="O50" s="158" t="s">
        <v>779</v>
      </c>
      <c r="P50" s="96"/>
      <c r="Q50" s="96"/>
      <c r="R50" s="155"/>
      <c r="S50" s="96"/>
      <c r="T50" s="96"/>
      <c r="U50" s="96"/>
      <c r="V50" s="96"/>
      <c r="W50" s="96"/>
      <c r="X50" s="96"/>
    </row>
    <row r="51" spans="1:24" x14ac:dyDescent="0.55000000000000004">
      <c r="A51" s="6" t="s">
        <v>779</v>
      </c>
      <c r="B51" s="96" t="s">
        <v>779</v>
      </c>
      <c r="C51" s="158" t="s">
        <v>779</v>
      </c>
      <c r="D51" s="160" t="s">
        <v>779</v>
      </c>
      <c r="E51" s="154" t="s">
        <v>779</v>
      </c>
      <c r="F51" s="135" t="s">
        <v>779</v>
      </c>
      <c r="G51" s="64" t="s">
        <v>779</v>
      </c>
      <c r="H51" s="155" t="s">
        <v>779</v>
      </c>
      <c r="I51" s="96" t="s">
        <v>779</v>
      </c>
      <c r="J51" s="96" t="s">
        <v>779</v>
      </c>
      <c r="K51" s="158" t="s">
        <v>779</v>
      </c>
      <c r="L51" s="158" t="s">
        <v>779</v>
      </c>
      <c r="M51" s="158" t="s">
        <v>779</v>
      </c>
      <c r="N51" s="158" t="s">
        <v>779</v>
      </c>
      <c r="O51" s="158" t="s">
        <v>779</v>
      </c>
      <c r="P51" s="96"/>
      <c r="Q51" s="96"/>
      <c r="R51" s="155"/>
      <c r="S51" s="96"/>
      <c r="T51" s="96"/>
      <c r="U51" s="96"/>
      <c r="V51" s="96"/>
      <c r="W51" s="96"/>
      <c r="X51" s="96"/>
    </row>
    <row r="52" spans="1:24" x14ac:dyDescent="0.55000000000000004">
      <c r="A52" s="6" t="s">
        <v>779</v>
      </c>
      <c r="B52" s="96" t="s">
        <v>779</v>
      </c>
      <c r="C52" s="158" t="s">
        <v>779</v>
      </c>
      <c r="D52" s="160" t="s">
        <v>779</v>
      </c>
      <c r="E52" s="154" t="s">
        <v>779</v>
      </c>
      <c r="F52" s="135" t="s">
        <v>779</v>
      </c>
      <c r="G52" s="64" t="s">
        <v>779</v>
      </c>
      <c r="H52" s="155" t="s">
        <v>779</v>
      </c>
      <c r="I52" s="96" t="s">
        <v>779</v>
      </c>
      <c r="J52" s="96" t="s">
        <v>779</v>
      </c>
      <c r="K52" s="158" t="s">
        <v>779</v>
      </c>
      <c r="L52" s="158" t="s">
        <v>779</v>
      </c>
      <c r="M52" s="158" t="s">
        <v>779</v>
      </c>
      <c r="N52" s="158" t="s">
        <v>779</v>
      </c>
      <c r="O52" s="158" t="s">
        <v>779</v>
      </c>
      <c r="P52" s="96"/>
      <c r="Q52" s="96"/>
      <c r="R52" s="155"/>
      <c r="S52" s="96"/>
      <c r="T52" s="96"/>
      <c r="U52" s="96"/>
      <c r="V52" s="96"/>
      <c r="W52" s="96"/>
      <c r="X52" s="96"/>
    </row>
    <row r="53" spans="1:24" x14ac:dyDescent="0.55000000000000004">
      <c r="A53" s="6" t="s">
        <v>779</v>
      </c>
      <c r="B53" s="96" t="s">
        <v>779</v>
      </c>
      <c r="C53" s="158" t="s">
        <v>779</v>
      </c>
      <c r="D53" s="160" t="s">
        <v>779</v>
      </c>
      <c r="E53" s="154" t="s">
        <v>779</v>
      </c>
      <c r="F53" s="135" t="s">
        <v>779</v>
      </c>
      <c r="G53" s="64" t="s">
        <v>779</v>
      </c>
      <c r="H53" s="155" t="s">
        <v>779</v>
      </c>
      <c r="I53" s="96" t="s">
        <v>779</v>
      </c>
      <c r="J53" s="96" t="s">
        <v>779</v>
      </c>
      <c r="K53" s="158" t="s">
        <v>779</v>
      </c>
      <c r="L53" s="158" t="s">
        <v>779</v>
      </c>
      <c r="M53" s="158" t="s">
        <v>779</v>
      </c>
      <c r="N53" s="158" t="s">
        <v>779</v>
      </c>
      <c r="O53" s="158" t="s">
        <v>779</v>
      </c>
      <c r="P53" s="96"/>
      <c r="Q53" s="96"/>
      <c r="R53" s="155"/>
      <c r="S53" s="96"/>
      <c r="T53" s="96"/>
      <c r="U53" s="96"/>
      <c r="V53" s="96"/>
      <c r="W53" s="96"/>
      <c r="X53" s="96"/>
    </row>
    <row r="54" spans="1:24" x14ac:dyDescent="0.55000000000000004">
      <c r="A54" s="6" t="s">
        <v>779</v>
      </c>
      <c r="B54" s="96" t="s">
        <v>779</v>
      </c>
      <c r="C54" s="158" t="s">
        <v>779</v>
      </c>
      <c r="D54" s="160" t="s">
        <v>779</v>
      </c>
      <c r="E54" s="154" t="s">
        <v>779</v>
      </c>
      <c r="F54" s="135" t="s">
        <v>779</v>
      </c>
      <c r="G54" s="64" t="s">
        <v>779</v>
      </c>
      <c r="H54" s="155" t="s">
        <v>779</v>
      </c>
      <c r="I54" s="96" t="s">
        <v>779</v>
      </c>
      <c r="J54" s="96" t="s">
        <v>779</v>
      </c>
      <c r="K54" s="158" t="s">
        <v>779</v>
      </c>
      <c r="L54" s="158" t="s">
        <v>779</v>
      </c>
      <c r="M54" s="158" t="s">
        <v>779</v>
      </c>
      <c r="N54" s="158" t="s">
        <v>779</v>
      </c>
      <c r="O54" s="158" t="s">
        <v>779</v>
      </c>
      <c r="P54" s="96"/>
      <c r="Q54" s="96"/>
      <c r="R54" s="155"/>
      <c r="S54" s="96"/>
      <c r="T54" s="96"/>
      <c r="U54" s="96"/>
      <c r="V54" s="96"/>
      <c r="W54" s="96"/>
      <c r="X54" s="96"/>
    </row>
    <row r="55" spans="1:24" x14ac:dyDescent="0.55000000000000004">
      <c r="A55" s="6" t="s">
        <v>779</v>
      </c>
      <c r="B55" s="96" t="s">
        <v>779</v>
      </c>
      <c r="C55" s="158" t="s">
        <v>779</v>
      </c>
      <c r="D55" s="160" t="s">
        <v>779</v>
      </c>
      <c r="E55" s="154" t="s">
        <v>779</v>
      </c>
      <c r="F55" s="135" t="s">
        <v>779</v>
      </c>
      <c r="G55" s="64" t="s">
        <v>779</v>
      </c>
      <c r="H55" s="155" t="s">
        <v>779</v>
      </c>
      <c r="I55" s="96" t="s">
        <v>779</v>
      </c>
      <c r="J55" s="96" t="s">
        <v>779</v>
      </c>
      <c r="K55" s="158" t="s">
        <v>779</v>
      </c>
      <c r="L55" s="158" t="s">
        <v>779</v>
      </c>
      <c r="M55" s="158" t="s">
        <v>779</v>
      </c>
      <c r="N55" s="158" t="s">
        <v>779</v>
      </c>
      <c r="O55" s="158" t="s">
        <v>779</v>
      </c>
      <c r="P55" s="96"/>
      <c r="Q55" s="96"/>
      <c r="R55" s="155"/>
      <c r="S55" s="96"/>
      <c r="T55" s="96"/>
      <c r="U55" s="96"/>
      <c r="V55" s="96"/>
      <c r="W55" s="96"/>
      <c r="X55" s="96"/>
    </row>
    <row r="56" spans="1:24" x14ac:dyDescent="0.55000000000000004">
      <c r="A56" s="6" t="s">
        <v>779</v>
      </c>
      <c r="B56" s="96" t="s">
        <v>779</v>
      </c>
      <c r="C56" s="158" t="s">
        <v>779</v>
      </c>
      <c r="D56" s="160" t="s">
        <v>779</v>
      </c>
      <c r="E56" s="154" t="s">
        <v>779</v>
      </c>
      <c r="F56" s="135" t="s">
        <v>779</v>
      </c>
      <c r="G56" s="64" t="s">
        <v>779</v>
      </c>
      <c r="H56" s="155" t="s">
        <v>779</v>
      </c>
      <c r="I56" s="96" t="s">
        <v>779</v>
      </c>
      <c r="J56" s="96" t="s">
        <v>779</v>
      </c>
      <c r="K56" s="158" t="s">
        <v>779</v>
      </c>
      <c r="L56" s="158" t="s">
        <v>779</v>
      </c>
      <c r="M56" s="158" t="s">
        <v>779</v>
      </c>
      <c r="N56" s="158" t="s">
        <v>779</v>
      </c>
      <c r="O56" s="158" t="s">
        <v>779</v>
      </c>
      <c r="P56" s="96"/>
      <c r="Q56" s="96"/>
      <c r="R56" s="155"/>
      <c r="S56" s="96"/>
      <c r="T56" s="96"/>
      <c r="U56" s="96"/>
      <c r="V56" s="96"/>
      <c r="W56" s="96"/>
      <c r="X56" s="96"/>
    </row>
    <row r="57" spans="1:24" x14ac:dyDescent="0.55000000000000004">
      <c r="A57" s="6" t="s">
        <v>779</v>
      </c>
      <c r="B57" s="96" t="s">
        <v>779</v>
      </c>
      <c r="C57" s="158" t="s">
        <v>779</v>
      </c>
      <c r="D57" s="160" t="s">
        <v>779</v>
      </c>
      <c r="E57" s="154" t="s">
        <v>779</v>
      </c>
      <c r="F57" s="135" t="s">
        <v>779</v>
      </c>
      <c r="G57" s="64" t="s">
        <v>779</v>
      </c>
      <c r="H57" s="155" t="s">
        <v>779</v>
      </c>
      <c r="I57" s="96" t="s">
        <v>779</v>
      </c>
      <c r="J57" s="96" t="s">
        <v>779</v>
      </c>
      <c r="K57" s="158" t="s">
        <v>779</v>
      </c>
      <c r="L57" s="158" t="s">
        <v>779</v>
      </c>
      <c r="M57" s="158" t="s">
        <v>779</v>
      </c>
      <c r="N57" s="158" t="s">
        <v>779</v>
      </c>
      <c r="O57" s="158" t="s">
        <v>779</v>
      </c>
      <c r="P57" s="96"/>
      <c r="Q57" s="96"/>
      <c r="R57" s="155"/>
      <c r="S57" s="96"/>
      <c r="T57" s="96"/>
      <c r="U57" s="96"/>
      <c r="V57" s="96"/>
      <c r="W57" s="96"/>
      <c r="X57" s="96"/>
    </row>
    <row r="58" spans="1:24" x14ac:dyDescent="0.55000000000000004">
      <c r="A58" s="6" t="s">
        <v>779</v>
      </c>
      <c r="B58" s="96" t="s">
        <v>779</v>
      </c>
      <c r="C58" s="158" t="s">
        <v>779</v>
      </c>
      <c r="D58" s="160" t="s">
        <v>779</v>
      </c>
      <c r="E58" s="154" t="s">
        <v>779</v>
      </c>
      <c r="F58" s="135" t="s">
        <v>779</v>
      </c>
      <c r="G58" s="64" t="s">
        <v>779</v>
      </c>
      <c r="H58" s="155" t="s">
        <v>779</v>
      </c>
      <c r="I58" s="96" t="s">
        <v>779</v>
      </c>
      <c r="J58" s="96" t="s">
        <v>779</v>
      </c>
      <c r="K58" s="158" t="s">
        <v>779</v>
      </c>
      <c r="L58" s="158" t="s">
        <v>779</v>
      </c>
      <c r="M58" s="158" t="s">
        <v>779</v>
      </c>
      <c r="N58" s="158" t="s">
        <v>779</v>
      </c>
      <c r="O58" s="158" t="s">
        <v>779</v>
      </c>
      <c r="P58" s="96"/>
      <c r="Q58" s="96"/>
      <c r="R58" s="155"/>
      <c r="S58" s="96"/>
      <c r="T58" s="96"/>
      <c r="U58" s="96"/>
      <c r="V58" s="96"/>
      <c r="W58" s="96"/>
      <c r="X58" s="96"/>
    </row>
    <row r="59" spans="1:24" x14ac:dyDescent="0.55000000000000004">
      <c r="A59" s="6" t="s">
        <v>779</v>
      </c>
      <c r="B59" s="96" t="s">
        <v>779</v>
      </c>
      <c r="C59" s="158" t="s">
        <v>779</v>
      </c>
      <c r="D59" s="160" t="s">
        <v>779</v>
      </c>
      <c r="E59" s="154" t="s">
        <v>779</v>
      </c>
      <c r="F59" s="135" t="s">
        <v>779</v>
      </c>
      <c r="G59" s="64" t="s">
        <v>779</v>
      </c>
      <c r="H59" s="155" t="s">
        <v>779</v>
      </c>
      <c r="I59" s="96" t="s">
        <v>779</v>
      </c>
      <c r="J59" s="96" t="s">
        <v>779</v>
      </c>
      <c r="K59" s="158" t="s">
        <v>779</v>
      </c>
      <c r="L59" s="158" t="s">
        <v>779</v>
      </c>
      <c r="M59" s="158" t="s">
        <v>779</v>
      </c>
      <c r="N59" s="158" t="s">
        <v>779</v>
      </c>
      <c r="O59" s="158" t="s">
        <v>779</v>
      </c>
      <c r="P59" s="96"/>
      <c r="Q59" s="96"/>
      <c r="R59" s="155"/>
      <c r="S59" s="96"/>
      <c r="T59" s="96"/>
      <c r="U59" s="96"/>
      <c r="V59" s="96"/>
      <c r="W59" s="96"/>
      <c r="X59" s="96"/>
    </row>
    <row r="60" spans="1:24" x14ac:dyDescent="0.55000000000000004">
      <c r="A60" s="6" t="s">
        <v>779</v>
      </c>
      <c r="B60" s="96" t="s">
        <v>779</v>
      </c>
      <c r="C60" s="158" t="s">
        <v>779</v>
      </c>
      <c r="D60" s="160" t="s">
        <v>779</v>
      </c>
      <c r="E60" s="154" t="s">
        <v>779</v>
      </c>
      <c r="F60" s="135" t="s">
        <v>779</v>
      </c>
      <c r="G60" s="64" t="s">
        <v>779</v>
      </c>
      <c r="H60" s="155" t="s">
        <v>779</v>
      </c>
      <c r="I60" s="96" t="s">
        <v>779</v>
      </c>
      <c r="J60" s="96" t="s">
        <v>779</v>
      </c>
      <c r="K60" s="158" t="s">
        <v>779</v>
      </c>
      <c r="L60" s="158" t="s">
        <v>779</v>
      </c>
      <c r="M60" s="158" t="s">
        <v>779</v>
      </c>
      <c r="N60" s="158" t="s">
        <v>779</v>
      </c>
      <c r="O60" s="158" t="s">
        <v>779</v>
      </c>
      <c r="P60" s="96"/>
      <c r="Q60" s="96"/>
      <c r="R60" s="155"/>
      <c r="S60" s="96"/>
      <c r="T60" s="96"/>
      <c r="U60" s="96"/>
      <c r="V60" s="96"/>
      <c r="W60" s="96"/>
      <c r="X60" s="96"/>
    </row>
    <row r="61" spans="1:24" x14ac:dyDescent="0.55000000000000004">
      <c r="A61" s="6" t="s">
        <v>779</v>
      </c>
      <c r="B61" s="96" t="s">
        <v>779</v>
      </c>
      <c r="C61" s="158" t="s">
        <v>779</v>
      </c>
      <c r="D61" s="160" t="s">
        <v>779</v>
      </c>
      <c r="E61" s="154" t="s">
        <v>779</v>
      </c>
      <c r="F61" s="135" t="s">
        <v>779</v>
      </c>
      <c r="G61" s="64" t="s">
        <v>779</v>
      </c>
      <c r="H61" s="155" t="s">
        <v>779</v>
      </c>
      <c r="I61" s="96" t="s">
        <v>779</v>
      </c>
      <c r="J61" s="96" t="s">
        <v>779</v>
      </c>
      <c r="K61" s="158" t="s">
        <v>779</v>
      </c>
      <c r="L61" s="158" t="s">
        <v>779</v>
      </c>
      <c r="M61" s="158" t="s">
        <v>779</v>
      </c>
      <c r="N61" s="158" t="s">
        <v>779</v>
      </c>
      <c r="O61" s="158" t="s">
        <v>779</v>
      </c>
      <c r="P61" s="96"/>
      <c r="Q61" s="96"/>
      <c r="R61" s="155"/>
      <c r="S61" s="96"/>
      <c r="T61" s="96"/>
      <c r="U61" s="96"/>
      <c r="V61" s="96"/>
      <c r="W61" s="96"/>
      <c r="X61" s="96"/>
    </row>
    <row r="62" spans="1:24" x14ac:dyDescent="0.55000000000000004">
      <c r="A62" s="6" t="s">
        <v>779</v>
      </c>
      <c r="B62" s="96" t="s">
        <v>779</v>
      </c>
      <c r="C62" s="158" t="s">
        <v>779</v>
      </c>
      <c r="D62" s="160" t="s">
        <v>779</v>
      </c>
      <c r="E62" s="154" t="s">
        <v>779</v>
      </c>
      <c r="F62" s="135" t="s">
        <v>779</v>
      </c>
      <c r="G62" s="64" t="s">
        <v>779</v>
      </c>
      <c r="H62" s="155" t="s">
        <v>779</v>
      </c>
      <c r="I62" s="96" t="s">
        <v>779</v>
      </c>
      <c r="J62" s="96" t="s">
        <v>779</v>
      </c>
      <c r="K62" s="158" t="s">
        <v>779</v>
      </c>
      <c r="L62" s="158" t="s">
        <v>779</v>
      </c>
      <c r="M62" s="158" t="s">
        <v>779</v>
      </c>
      <c r="N62" s="158" t="s">
        <v>779</v>
      </c>
      <c r="O62" s="158" t="s">
        <v>779</v>
      </c>
      <c r="P62" s="96"/>
      <c r="Q62" s="96"/>
      <c r="R62" s="155"/>
      <c r="S62" s="96"/>
      <c r="T62" s="96"/>
      <c r="U62" s="96"/>
      <c r="V62" s="96"/>
      <c r="W62" s="96"/>
      <c r="X62" s="96"/>
    </row>
    <row r="63" spans="1:24" x14ac:dyDescent="0.55000000000000004">
      <c r="A63" s="6" t="s">
        <v>779</v>
      </c>
      <c r="B63" s="96" t="s">
        <v>779</v>
      </c>
      <c r="C63" s="158" t="s">
        <v>779</v>
      </c>
      <c r="D63" s="160" t="s">
        <v>779</v>
      </c>
      <c r="E63" s="154" t="s">
        <v>779</v>
      </c>
      <c r="F63" s="135" t="s">
        <v>779</v>
      </c>
      <c r="G63" s="64" t="s">
        <v>779</v>
      </c>
      <c r="H63" s="155" t="s">
        <v>779</v>
      </c>
      <c r="I63" s="96" t="s">
        <v>779</v>
      </c>
      <c r="J63" s="96" t="s">
        <v>779</v>
      </c>
      <c r="K63" s="158" t="s">
        <v>779</v>
      </c>
      <c r="L63" s="158" t="s">
        <v>779</v>
      </c>
      <c r="M63" s="158" t="s">
        <v>779</v>
      </c>
      <c r="N63" s="158" t="s">
        <v>779</v>
      </c>
      <c r="O63" s="158" t="s">
        <v>779</v>
      </c>
      <c r="P63" s="96"/>
      <c r="Q63" s="96"/>
      <c r="R63" s="155"/>
      <c r="S63" s="96"/>
      <c r="T63" s="96"/>
      <c r="U63" s="96"/>
      <c r="V63" s="96"/>
      <c r="W63" s="96"/>
      <c r="X63" s="96"/>
    </row>
    <row r="64" spans="1:24" x14ac:dyDescent="0.55000000000000004">
      <c r="A64" s="6" t="s">
        <v>779</v>
      </c>
      <c r="B64" s="96" t="s">
        <v>779</v>
      </c>
      <c r="C64" s="158" t="s">
        <v>779</v>
      </c>
      <c r="D64" s="160" t="s">
        <v>779</v>
      </c>
      <c r="E64" s="154" t="s">
        <v>779</v>
      </c>
      <c r="F64" s="135" t="s">
        <v>779</v>
      </c>
      <c r="G64" s="64" t="s">
        <v>779</v>
      </c>
      <c r="H64" s="155" t="s">
        <v>779</v>
      </c>
      <c r="I64" s="96" t="s">
        <v>779</v>
      </c>
      <c r="J64" s="96" t="s">
        <v>779</v>
      </c>
      <c r="K64" s="158" t="s">
        <v>779</v>
      </c>
      <c r="L64" s="158" t="s">
        <v>779</v>
      </c>
      <c r="M64" s="158" t="s">
        <v>779</v>
      </c>
      <c r="N64" s="158" t="s">
        <v>779</v>
      </c>
      <c r="O64" s="158" t="s">
        <v>779</v>
      </c>
      <c r="P64" s="96"/>
      <c r="Q64" s="96"/>
      <c r="R64" s="155"/>
      <c r="S64" s="96"/>
      <c r="T64" s="96"/>
      <c r="U64" s="96"/>
      <c r="V64" s="96"/>
      <c r="W64" s="96"/>
      <c r="X64" s="96"/>
    </row>
    <row r="65" spans="1:24" x14ac:dyDescent="0.55000000000000004">
      <c r="A65" s="6" t="s">
        <v>779</v>
      </c>
      <c r="B65" s="96" t="s">
        <v>779</v>
      </c>
      <c r="C65" s="158" t="s">
        <v>779</v>
      </c>
      <c r="D65" s="160" t="s">
        <v>779</v>
      </c>
      <c r="E65" s="154" t="s">
        <v>779</v>
      </c>
      <c r="F65" s="135" t="s">
        <v>779</v>
      </c>
      <c r="G65" s="64" t="s">
        <v>779</v>
      </c>
      <c r="H65" s="155" t="s">
        <v>779</v>
      </c>
      <c r="I65" s="96" t="s">
        <v>779</v>
      </c>
      <c r="J65" s="96" t="s">
        <v>779</v>
      </c>
      <c r="K65" s="158" t="s">
        <v>779</v>
      </c>
      <c r="L65" s="158" t="s">
        <v>779</v>
      </c>
      <c r="M65" s="158" t="s">
        <v>779</v>
      </c>
      <c r="N65" s="158" t="s">
        <v>779</v>
      </c>
      <c r="O65" s="158" t="s">
        <v>779</v>
      </c>
      <c r="P65" s="96"/>
      <c r="Q65" s="96"/>
      <c r="R65" s="155"/>
      <c r="S65" s="96"/>
      <c r="T65" s="96"/>
      <c r="U65" s="96"/>
      <c r="V65" s="96"/>
      <c r="W65" s="96"/>
      <c r="X65" s="96"/>
    </row>
    <row r="66" spans="1:24" x14ac:dyDescent="0.55000000000000004">
      <c r="A66" s="6" t="s">
        <v>779</v>
      </c>
      <c r="B66" s="96" t="s">
        <v>779</v>
      </c>
      <c r="C66" s="158" t="s">
        <v>779</v>
      </c>
      <c r="D66" s="160" t="s">
        <v>779</v>
      </c>
      <c r="E66" s="154" t="s">
        <v>779</v>
      </c>
      <c r="F66" s="135" t="s">
        <v>779</v>
      </c>
      <c r="G66" s="64" t="s">
        <v>779</v>
      </c>
      <c r="H66" s="155" t="s">
        <v>779</v>
      </c>
      <c r="I66" s="96" t="s">
        <v>779</v>
      </c>
      <c r="J66" s="96" t="s">
        <v>779</v>
      </c>
      <c r="K66" s="158" t="s">
        <v>779</v>
      </c>
      <c r="L66" s="158" t="s">
        <v>779</v>
      </c>
      <c r="M66" s="158" t="s">
        <v>779</v>
      </c>
      <c r="N66" s="158" t="s">
        <v>779</v>
      </c>
      <c r="O66" s="158" t="s">
        <v>779</v>
      </c>
      <c r="P66" s="96"/>
      <c r="Q66" s="96"/>
      <c r="R66" s="155"/>
      <c r="S66" s="96"/>
      <c r="T66" s="96"/>
      <c r="U66" s="96"/>
      <c r="V66" s="96"/>
      <c r="W66" s="96"/>
      <c r="X66" s="96"/>
    </row>
    <row r="67" spans="1:24" x14ac:dyDescent="0.55000000000000004">
      <c r="A67" s="6"/>
      <c r="B67" s="96"/>
      <c r="C67" s="158"/>
      <c r="D67" s="160"/>
      <c r="E67" s="154"/>
      <c r="F67" s="135" t="s">
        <v>779</v>
      </c>
      <c r="G67" s="64"/>
      <c r="H67" s="155"/>
      <c r="I67" s="96"/>
      <c r="J67" s="96"/>
      <c r="K67" s="158"/>
      <c r="L67" s="158"/>
      <c r="M67" s="158"/>
      <c r="N67" s="158"/>
      <c r="O67" s="158"/>
      <c r="P67" s="96"/>
      <c r="Q67" s="96"/>
      <c r="R67" s="155"/>
      <c r="S67" s="96"/>
      <c r="T67" s="96"/>
      <c r="U67" s="96"/>
      <c r="V67" s="96"/>
      <c r="W67" s="96"/>
      <c r="X67" s="96"/>
    </row>
    <row r="68" spans="1:24" x14ac:dyDescent="0.55000000000000004">
      <c r="A68" s="6"/>
      <c r="B68" s="96"/>
      <c r="C68" s="158"/>
      <c r="D68" s="160"/>
      <c r="E68" s="154"/>
      <c r="F68" s="135"/>
      <c r="G68" s="64"/>
      <c r="H68" s="155"/>
      <c r="I68" s="96"/>
      <c r="J68" s="96"/>
      <c r="K68" s="158"/>
      <c r="L68" s="158"/>
      <c r="M68" s="158"/>
      <c r="N68" s="158"/>
      <c r="O68" s="158"/>
      <c r="P68" s="96"/>
      <c r="Q68" s="96"/>
      <c r="R68" s="155"/>
      <c r="S68" s="96"/>
      <c r="T68" s="96"/>
      <c r="U68" s="96"/>
      <c r="V68" s="96"/>
      <c r="W68" s="96"/>
      <c r="X68" s="96"/>
    </row>
    <row r="69" spans="1:24" x14ac:dyDescent="0.55000000000000004">
      <c r="A69" s="6"/>
      <c r="B69" s="96"/>
      <c r="C69" s="158"/>
      <c r="D69" s="160"/>
      <c r="E69" s="132"/>
      <c r="F69" s="135" t="s">
        <v>779</v>
      </c>
      <c r="G69" s="64"/>
      <c r="H69" s="155"/>
      <c r="I69" s="96"/>
      <c r="J69" s="96"/>
      <c r="K69" s="96"/>
      <c r="L69" s="96"/>
      <c r="M69" s="96"/>
      <c r="N69" s="96"/>
      <c r="O69" s="96"/>
      <c r="P69" s="96"/>
      <c r="Q69" s="96"/>
      <c r="R69" s="155"/>
      <c r="S69" s="96"/>
      <c r="T69" s="96"/>
      <c r="U69" s="96"/>
      <c r="V69" s="96"/>
      <c r="W69" s="96"/>
      <c r="X69" s="96"/>
    </row>
    <row r="70" spans="1:24" x14ac:dyDescent="0.55000000000000004">
      <c r="B70" s="1"/>
      <c r="C70" s="1"/>
      <c r="D70" s="1"/>
      <c r="E70" s="40"/>
      <c r="F70" s="161"/>
      <c r="G70" s="163"/>
      <c r="H70" s="163"/>
      <c r="I70" s="1"/>
      <c r="J70" s="1"/>
      <c r="K70" s="1"/>
      <c r="L70" s="1"/>
      <c r="M70" s="1"/>
      <c r="N70" s="1"/>
      <c r="O70" s="1"/>
      <c r="P70" s="1"/>
      <c r="Q70" s="1"/>
      <c r="R70" s="1"/>
      <c r="S70" s="1"/>
      <c r="T70" s="1"/>
      <c r="U70" s="1"/>
      <c r="V70" s="1"/>
      <c r="W70" s="1"/>
      <c r="X70" s="1"/>
    </row>
  </sheetData>
  <sheetProtection algorithmName="SHA-512" hashValue="SpIJGZWsKilap2H01bylpexF43xknd8Zl0rCKmNNwnQsmlnk/XqjY1CNe0ylrrmp/I2o//LF9touGc7I+ZPNYw==" saltValue="g+BeujNBHqAbCSI8tUyJRg==" spinCount="100000" sheet="1" objects="1" scenarios="1" selectLockedCells="1"/>
  <mergeCells count="6">
    <mergeCell ref="S19:X20"/>
    <mergeCell ref="S21:X32"/>
    <mergeCell ref="P10:X11"/>
    <mergeCell ref="S40:X45"/>
    <mergeCell ref="S35:X38"/>
    <mergeCell ref="S13:X15"/>
  </mergeCells>
  <conditionalFormatting sqref="K19:K69">
    <cfRule type="cellIs" dxfId="8" priority="10" operator="between">
      <formula>$A$19</formula>
      <formula>$A$20</formula>
    </cfRule>
  </conditionalFormatting>
  <conditionalFormatting sqref="L19:L30 L32:L69">
    <cfRule type="cellIs" dxfId="7" priority="9" operator="between">
      <formula>$A$22</formula>
      <formula>$A$23</formula>
    </cfRule>
  </conditionalFormatting>
  <conditionalFormatting sqref="M19:M28 M30:M69">
    <cfRule type="cellIs" dxfId="6" priority="8" operator="between">
      <formula>$A$25</formula>
      <formula>$A$26</formula>
    </cfRule>
  </conditionalFormatting>
  <conditionalFormatting sqref="N19:N21 N23:N69">
    <cfRule type="cellIs" dxfId="5" priority="7" operator="between">
      <formula>$A$28</formula>
      <formula>$A$29</formula>
    </cfRule>
  </conditionalFormatting>
  <conditionalFormatting sqref="O19:O69">
    <cfRule type="cellIs" dxfId="4" priority="6" operator="between">
      <formula>$A$31</formula>
      <formula>$A$32</formula>
    </cfRule>
  </conditionalFormatting>
  <conditionalFormatting sqref="D19:D69">
    <cfRule type="containsText" dxfId="3" priority="5" operator="containsText" text="verbod">
      <formula>NOT(ISERROR(SEARCH("verbod",D19)))</formula>
    </cfRule>
  </conditionalFormatting>
  <conditionalFormatting sqref="M29">
    <cfRule type="cellIs" dxfId="2" priority="3" operator="between">
      <formula>$A$28</formula>
      <formula>$A$29</formula>
    </cfRule>
  </conditionalFormatting>
  <conditionalFormatting sqref="L31">
    <cfRule type="cellIs" dxfId="1" priority="2" operator="between">
      <formula>$A$28</formula>
      <formula>$A$29</formula>
    </cfRule>
  </conditionalFormatting>
  <conditionalFormatting sqref="N22">
    <cfRule type="cellIs" dxfId="0" priority="1" operator="between">
      <formula>$A$28</formula>
      <formula>$A$29</formula>
    </cfRule>
  </conditionalFormatting>
  <pageMargins left="0.7" right="0.7" top="0.75" bottom="0.75" header="0.3" footer="0.3"/>
  <pageSetup paperSize="9" scale="79" fitToHeight="0"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FF7D1-A4CF-4AAC-82B5-232FA0263A8C}">
  <sheetPr codeName="Blad13"/>
  <dimension ref="A1:V14"/>
  <sheetViews>
    <sheetView workbookViewId="0"/>
  </sheetViews>
  <sheetFormatPr defaultRowHeight="12.9" x14ac:dyDescent="0.5"/>
  <cols>
    <col min="1" max="1" width="2.20703125" style="523" customWidth="1"/>
    <col min="2" max="10" width="8.83984375" style="523"/>
    <col min="11" max="11" width="5.3125" style="523" customWidth="1"/>
    <col min="12" max="12" width="4.15625" style="346" customWidth="1"/>
    <col min="13" max="21" width="8.83984375" style="346"/>
    <col min="22" max="22" width="2.9453125" style="346" customWidth="1"/>
    <col min="23" max="23" width="4.578125" style="523" customWidth="1"/>
    <col min="24" max="16384" width="8.83984375" style="523"/>
  </cols>
  <sheetData>
    <row r="1" spans="1:21" ht="10.5" customHeight="1" x14ac:dyDescent="0.5">
      <c r="A1" s="309"/>
    </row>
    <row r="2" spans="1:21" ht="42" customHeight="1" x14ac:dyDescent="0.95">
      <c r="K2" s="554" t="s">
        <v>545</v>
      </c>
      <c r="M2" s="555" t="s">
        <v>546</v>
      </c>
    </row>
    <row r="7" spans="1:21" s="556" customFormat="1" ht="32.1" customHeight="1" x14ac:dyDescent="0.5">
      <c r="B7" s="557" t="s">
        <v>389</v>
      </c>
      <c r="C7" s="558" t="s">
        <v>547</v>
      </c>
      <c r="D7" s="559"/>
      <c r="E7" s="559"/>
      <c r="F7" s="559"/>
      <c r="G7" s="559"/>
      <c r="H7" s="559"/>
      <c r="I7" s="559"/>
      <c r="L7" s="559"/>
      <c r="M7" s="558" t="s">
        <v>546</v>
      </c>
      <c r="O7" s="559"/>
      <c r="P7" s="559"/>
      <c r="Q7" s="559"/>
      <c r="R7" s="559"/>
      <c r="S7" s="559"/>
      <c r="T7" s="557"/>
      <c r="U7" s="559"/>
    </row>
    <row r="8" spans="1:21" ht="25.8" x14ac:dyDescent="0.95">
      <c r="B8" s="560"/>
      <c r="C8" s="522"/>
      <c r="D8" s="522"/>
      <c r="E8" s="522"/>
      <c r="F8" s="522"/>
      <c r="G8" s="522"/>
      <c r="H8" s="522"/>
      <c r="I8" s="522"/>
      <c r="J8" s="522"/>
      <c r="K8" s="522"/>
      <c r="L8" s="345"/>
      <c r="M8" s="345"/>
      <c r="N8" s="345"/>
      <c r="O8" s="345"/>
      <c r="P8" s="345"/>
      <c r="Q8" s="345"/>
      <c r="R8" s="345"/>
      <c r="S8" s="345"/>
      <c r="T8" s="345"/>
      <c r="U8" s="345"/>
    </row>
    <row r="11" spans="1:21" x14ac:dyDescent="0.5">
      <c r="E11" s="561"/>
      <c r="F11" s="488"/>
      <c r="G11" s="488"/>
      <c r="H11" s="488"/>
      <c r="I11" s="488"/>
      <c r="J11" s="488"/>
      <c r="K11" s="488"/>
      <c r="L11" s="488"/>
      <c r="M11" s="488"/>
      <c r="N11" s="488"/>
      <c r="O11" s="488"/>
      <c r="P11" s="562"/>
    </row>
    <row r="12" spans="1:21" ht="23.1" x14ac:dyDescent="0.85">
      <c r="E12" s="563"/>
      <c r="F12" s="564" t="s">
        <v>775</v>
      </c>
      <c r="G12" s="345"/>
      <c r="H12" s="345"/>
      <c r="I12" s="345"/>
      <c r="J12" s="345"/>
      <c r="K12" s="345"/>
      <c r="L12" s="345"/>
      <c r="M12" s="345"/>
      <c r="N12" s="345"/>
      <c r="O12" s="345"/>
      <c r="P12" s="565"/>
    </row>
    <row r="13" spans="1:21" x14ac:dyDescent="0.5">
      <c r="E13" s="563"/>
      <c r="F13" s="345"/>
      <c r="G13" s="345"/>
      <c r="H13" s="345"/>
      <c r="I13" s="345"/>
      <c r="J13" s="345"/>
      <c r="K13" s="345"/>
      <c r="L13" s="345"/>
      <c r="M13" s="345"/>
      <c r="N13" s="345"/>
      <c r="O13" s="345"/>
      <c r="P13" s="565"/>
    </row>
    <row r="14" spans="1:21" x14ac:dyDescent="0.5">
      <c r="E14" s="566"/>
      <c r="F14" s="502"/>
      <c r="G14" s="502"/>
      <c r="H14" s="502"/>
      <c r="I14" s="502"/>
      <c r="J14" s="502"/>
      <c r="K14" s="502"/>
      <c r="L14" s="502"/>
      <c r="M14" s="502"/>
      <c r="N14" s="502"/>
      <c r="O14" s="502"/>
      <c r="P14" s="567"/>
    </row>
  </sheetData>
  <sheetProtection algorithmName="SHA-512" hashValue="Rrm3N9GL3qZeajqzHrL2efdQnV/rUZmNjnAucR4gvJzLnzNG+QykVOhyV4UowpBa0plJBFeXvoFoT3HfPbjITA==" saltValue="z3HtFCgb/v6XJpaHluGiuQ==" spinCount="100000" sheet="1" objects="1" scenarios="1" selectLockedCell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0C17-46E1-4DF7-A466-35974E12B52A}">
  <sheetPr codeName="Blad15"/>
  <dimension ref="B1:D18"/>
  <sheetViews>
    <sheetView workbookViewId="0"/>
  </sheetViews>
  <sheetFormatPr defaultRowHeight="14.4" x14ac:dyDescent="0.55000000000000004"/>
  <cols>
    <col min="1" max="1" width="2.62890625" style="6" customWidth="1"/>
    <col min="2" max="2" width="84.62890625" style="6" customWidth="1"/>
    <col min="3" max="16384" width="8.83984375" style="6"/>
  </cols>
  <sheetData>
    <row r="1" spans="2:4" ht="14.4" customHeight="1" x14ac:dyDescent="0.55000000000000004"/>
    <row r="2" spans="2:4" x14ac:dyDescent="0.55000000000000004">
      <c r="B2" s="31" t="s">
        <v>813</v>
      </c>
    </row>
    <row r="3" spans="2:4" x14ac:dyDescent="0.55000000000000004">
      <c r="B3" s="31" t="s">
        <v>794</v>
      </c>
    </row>
    <row r="4" spans="2:4" x14ac:dyDescent="0.55000000000000004">
      <c r="B4" s="31" t="s">
        <v>795</v>
      </c>
    </row>
    <row r="5" spans="2:4" x14ac:dyDescent="0.55000000000000004">
      <c r="B5" s="31"/>
    </row>
    <row r="6" spans="2:4" x14ac:dyDescent="0.55000000000000004">
      <c r="B6" s="31"/>
    </row>
    <row r="7" spans="2:4" x14ac:dyDescent="0.55000000000000004">
      <c r="B7" s="31" t="s">
        <v>796</v>
      </c>
    </row>
    <row r="8" spans="2:4" x14ac:dyDescent="0.55000000000000004">
      <c r="B8" s="31" t="s">
        <v>797</v>
      </c>
      <c r="D8" s="301" t="s">
        <v>716</v>
      </c>
    </row>
    <row r="9" spans="2:4" x14ac:dyDescent="0.55000000000000004">
      <c r="B9" s="31" t="s">
        <v>401</v>
      </c>
      <c r="D9" s="301" t="s">
        <v>717</v>
      </c>
    </row>
    <row r="10" spans="2:4" x14ac:dyDescent="0.55000000000000004">
      <c r="B10" s="31"/>
    </row>
    <row r="11" spans="2:4" x14ac:dyDescent="0.55000000000000004">
      <c r="C11" s="32"/>
    </row>
    <row r="12" spans="2:4" x14ac:dyDescent="0.55000000000000004">
      <c r="B12" s="31"/>
    </row>
    <row r="13" spans="2:4" x14ac:dyDescent="0.55000000000000004">
      <c r="B13" s="31"/>
    </row>
    <row r="14" spans="2:4" x14ac:dyDescent="0.55000000000000004">
      <c r="B14" s="30" t="s">
        <v>799</v>
      </c>
    </row>
    <row r="15" spans="2:4" x14ac:dyDescent="0.55000000000000004">
      <c r="B15" s="31"/>
    </row>
    <row r="16" spans="2:4" ht="43.2" x14ac:dyDescent="0.55000000000000004">
      <c r="B16" s="11" t="s">
        <v>798</v>
      </c>
    </row>
    <row r="18" spans="2:2" ht="23.1" x14ac:dyDescent="0.85">
      <c r="B18" s="36" t="s">
        <v>800</v>
      </c>
    </row>
  </sheetData>
  <sheetProtection sheet="1" objects="1" scenarios="1" selectLockedCells="1"/>
  <pageMargins left="0.70866141732283472" right="0.70866141732283472" top="1.3385826771653544" bottom="0.74803149606299213" header="0.31496062992125984" footer="0.31496062992125984"/>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4C8BC-B0D6-498F-9F58-F311984DC161}">
  <dimension ref="A1:I20"/>
  <sheetViews>
    <sheetView workbookViewId="0"/>
  </sheetViews>
  <sheetFormatPr defaultRowHeight="14.4" x14ac:dyDescent="0.55000000000000004"/>
  <cols>
    <col min="1" max="1" width="3.3671875" customWidth="1"/>
    <col min="2" max="2" width="82.41796875" customWidth="1"/>
  </cols>
  <sheetData>
    <row r="1" spans="1:9" x14ac:dyDescent="0.55000000000000004">
      <c r="A1" s="31"/>
      <c r="B1" s="6"/>
      <c r="C1" s="6"/>
      <c r="D1" s="6"/>
      <c r="E1" s="6"/>
      <c r="F1" s="6"/>
      <c r="G1" s="6"/>
      <c r="H1" s="6"/>
      <c r="I1" s="6"/>
    </row>
    <row r="2" spans="1:9" x14ac:dyDescent="0.55000000000000004">
      <c r="A2" s="31"/>
      <c r="B2" s="31" t="s">
        <v>813</v>
      </c>
      <c r="C2" s="6"/>
      <c r="D2" s="6"/>
      <c r="E2" s="6"/>
      <c r="F2" s="6"/>
      <c r="G2" s="6"/>
      <c r="H2" s="6"/>
      <c r="I2" s="6"/>
    </row>
    <row r="3" spans="1:9" x14ac:dyDescent="0.55000000000000004">
      <c r="A3" s="31"/>
      <c r="B3" s="31" t="s">
        <v>794</v>
      </c>
      <c r="C3" s="6"/>
      <c r="D3" s="6"/>
      <c r="E3" s="6"/>
      <c r="F3" s="6"/>
      <c r="G3" s="6"/>
      <c r="H3" s="6"/>
      <c r="I3" s="6"/>
    </row>
    <row r="4" spans="1:9" x14ac:dyDescent="0.55000000000000004">
      <c r="A4" s="31"/>
      <c r="B4" s="31" t="s">
        <v>795</v>
      </c>
      <c r="C4" s="6"/>
      <c r="D4" s="6"/>
      <c r="E4" s="6"/>
      <c r="F4" s="6"/>
      <c r="G4" s="6"/>
      <c r="H4" s="6"/>
      <c r="I4" s="6"/>
    </row>
    <row r="5" spans="1:9" x14ac:dyDescent="0.55000000000000004">
      <c r="A5" s="31"/>
      <c r="B5" s="31"/>
      <c r="C5" s="6"/>
      <c r="D5" s="6"/>
      <c r="E5" s="6"/>
      <c r="F5" s="6"/>
      <c r="G5" s="6"/>
      <c r="H5" s="6"/>
      <c r="I5" s="6"/>
    </row>
    <row r="6" spans="1:9" x14ac:dyDescent="0.55000000000000004">
      <c r="A6" s="31"/>
      <c r="B6" s="31"/>
      <c r="C6" s="6"/>
      <c r="D6" s="6"/>
      <c r="E6" s="6"/>
      <c r="F6" s="6"/>
      <c r="G6" s="6"/>
      <c r="H6" s="6"/>
      <c r="I6" s="6"/>
    </row>
    <row r="7" spans="1:9" x14ac:dyDescent="0.55000000000000004">
      <c r="A7" s="31"/>
      <c r="B7" s="31" t="s">
        <v>796</v>
      </c>
      <c r="C7" s="301" t="s">
        <v>716</v>
      </c>
      <c r="D7" s="6"/>
      <c r="E7" s="6"/>
      <c r="F7" s="6"/>
      <c r="G7" s="6"/>
      <c r="H7" s="6"/>
      <c r="I7" s="6"/>
    </row>
    <row r="8" spans="1:9" x14ac:dyDescent="0.55000000000000004">
      <c r="A8" s="31"/>
      <c r="B8" s="31" t="str">
        <f>"Betreft:       Bevestiging afpraken over herplaatsing"</f>
        <v>Betreft:       Bevestiging afpraken over herplaatsing</v>
      </c>
      <c r="C8" s="301" t="s">
        <v>717</v>
      </c>
      <c r="D8" s="6"/>
      <c r="E8" s="6"/>
      <c r="F8" s="6"/>
      <c r="G8" s="6"/>
      <c r="H8" s="6"/>
      <c r="I8" s="6"/>
    </row>
    <row r="9" spans="1:9" x14ac:dyDescent="0.55000000000000004">
      <c r="A9" s="31"/>
      <c r="B9" s="31" t="s">
        <v>401</v>
      </c>
      <c r="C9" s="6"/>
      <c r="D9" s="6"/>
      <c r="E9" s="6"/>
      <c r="F9" s="6"/>
      <c r="G9" s="6"/>
      <c r="H9" s="6"/>
      <c r="I9" s="6"/>
    </row>
    <row r="10" spans="1:9" x14ac:dyDescent="0.55000000000000004">
      <c r="A10" s="6"/>
      <c r="B10" s="31"/>
      <c r="C10" s="6"/>
      <c r="D10" s="6"/>
      <c r="E10" s="6"/>
      <c r="F10" s="6"/>
      <c r="G10" s="6"/>
      <c r="H10" s="6"/>
      <c r="I10" s="6"/>
    </row>
    <row r="11" spans="1:9" x14ac:dyDescent="0.55000000000000004">
      <c r="A11" s="31"/>
      <c r="B11" s="6"/>
      <c r="C11" s="6"/>
      <c r="D11" s="6"/>
      <c r="E11" s="6"/>
      <c r="F11" s="6"/>
      <c r="G11" s="6"/>
      <c r="H11" s="6"/>
      <c r="I11" s="6"/>
    </row>
    <row r="12" spans="1:9" x14ac:dyDescent="0.55000000000000004">
      <c r="A12" s="31"/>
      <c r="B12" s="31"/>
      <c r="C12" s="6"/>
      <c r="D12" s="6"/>
      <c r="E12" s="6"/>
      <c r="F12" s="6"/>
      <c r="G12" s="6"/>
      <c r="H12" s="6"/>
      <c r="I12" s="6"/>
    </row>
    <row r="13" spans="1:9" x14ac:dyDescent="0.55000000000000004">
      <c r="A13" s="30"/>
      <c r="B13" s="31"/>
      <c r="C13" s="6"/>
      <c r="D13" s="6"/>
      <c r="E13" s="6"/>
      <c r="F13" s="6"/>
      <c r="G13" s="6"/>
      <c r="H13" s="6"/>
      <c r="I13" s="6"/>
    </row>
    <row r="14" spans="1:9" x14ac:dyDescent="0.55000000000000004">
      <c r="A14" s="31"/>
      <c r="B14" s="30" t="s">
        <v>799</v>
      </c>
      <c r="C14" s="6"/>
      <c r="D14" s="6"/>
      <c r="E14" s="6"/>
      <c r="F14" s="6"/>
      <c r="G14" s="6"/>
      <c r="H14" s="6"/>
      <c r="I14" s="6"/>
    </row>
    <row r="15" spans="1:9" x14ac:dyDescent="0.55000000000000004">
      <c r="A15" s="11"/>
      <c r="B15" s="6"/>
      <c r="C15" s="6"/>
      <c r="D15" s="6"/>
      <c r="E15" s="6"/>
      <c r="F15" s="6"/>
      <c r="G15" s="6"/>
      <c r="H15" s="6"/>
      <c r="I15" s="6"/>
    </row>
    <row r="16" spans="1:9" ht="14.4" customHeight="1" x14ac:dyDescent="0.55000000000000004">
      <c r="A16" s="6"/>
      <c r="B16" s="954" t="s">
        <v>802</v>
      </c>
      <c r="C16" s="6"/>
      <c r="D16" s="6"/>
      <c r="E16" s="6"/>
      <c r="F16" s="6"/>
      <c r="G16" s="6"/>
      <c r="H16" s="6"/>
      <c r="I16" s="6"/>
    </row>
    <row r="17" spans="1:9" ht="23.1" x14ac:dyDescent="0.85">
      <c r="A17" s="36"/>
      <c r="B17" s="954"/>
      <c r="C17" s="6"/>
      <c r="D17" s="6"/>
      <c r="E17" s="6"/>
      <c r="F17" s="6"/>
      <c r="G17" s="6"/>
      <c r="H17" s="6"/>
      <c r="I17" s="6"/>
    </row>
    <row r="18" spans="1:9" x14ac:dyDescent="0.55000000000000004">
      <c r="B18" s="954"/>
    </row>
    <row r="19" spans="1:9" x14ac:dyDescent="0.55000000000000004">
      <c r="B19" s="954"/>
    </row>
    <row r="20" spans="1:9" ht="23.1" x14ac:dyDescent="0.85">
      <c r="B20" s="36" t="s">
        <v>725</v>
      </c>
    </row>
  </sheetData>
  <sheetProtection algorithmName="SHA-512" hashValue="4Z/cIQVZDUu/YlQUyWfQriGQP2Gd/UdZzS17s+cn8ubhmHaq/3gO53z6N11k1pLss/o1tI84fFOWiSvOgmMnxg==" saltValue="Qf+WGFMkL3p45OhsU6XtXg==" spinCount="100000" sheet="1" objects="1" scenarios="1" selectLockedCells="1"/>
  <mergeCells count="1">
    <mergeCell ref="B16:B1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1F4A-9A56-4459-8401-976BE14E4B87}">
  <sheetPr codeName="Blad12">
    <pageSetUpPr fitToPage="1"/>
  </sheetPr>
  <dimension ref="A1:AD194"/>
  <sheetViews>
    <sheetView workbookViewId="0"/>
  </sheetViews>
  <sheetFormatPr defaultColWidth="30.578125" defaultRowHeight="12.9" x14ac:dyDescent="0.5"/>
  <cols>
    <col min="1" max="1" width="5" style="553" customWidth="1"/>
    <col min="2" max="9" width="7.7890625" style="61" customWidth="1"/>
    <col min="10" max="10" width="9.83984375" style="61" customWidth="1"/>
    <col min="11" max="30" width="7.7890625" style="61" customWidth="1"/>
    <col min="31" max="35" width="30.578125" style="61" customWidth="1"/>
    <col min="36" max="16384" width="30.578125" style="61"/>
  </cols>
  <sheetData>
    <row r="1" spans="1:30" ht="13.5" customHeight="1" x14ac:dyDescent="0.5"/>
    <row r="2" spans="1:30" ht="47.1" customHeight="1" x14ac:dyDescent="1.1000000000000001">
      <c r="I2" s="139"/>
    </row>
    <row r="3" spans="1:30" x14ac:dyDescent="0.5">
      <c r="A3" s="785"/>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x14ac:dyDescent="0.5">
      <c r="A4" s="78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ht="19.2" x14ac:dyDescent="0.7">
      <c r="A5" s="785"/>
      <c r="B5" s="70"/>
      <c r="C5" s="70"/>
      <c r="D5" s="70"/>
      <c r="E5" s="70"/>
      <c r="F5" s="70"/>
      <c r="G5" s="70"/>
      <c r="I5" s="72"/>
      <c r="J5" s="70"/>
      <c r="K5" s="73" t="s">
        <v>613</v>
      </c>
      <c r="L5" s="72"/>
      <c r="N5" s="70"/>
      <c r="O5" s="70"/>
      <c r="P5" s="70"/>
      <c r="Q5" s="70"/>
      <c r="R5" s="70"/>
      <c r="S5" s="70"/>
      <c r="T5" s="70"/>
      <c r="U5" s="70"/>
      <c r="V5" s="70"/>
      <c r="W5" s="70"/>
      <c r="X5" s="70"/>
      <c r="Y5" s="70"/>
      <c r="Z5" s="70"/>
      <c r="AA5" s="70"/>
      <c r="AB5" s="70"/>
      <c r="AC5" s="70"/>
      <c r="AD5" s="70"/>
    </row>
    <row r="6" spans="1:30" ht="19.2" x14ac:dyDescent="0.7">
      <c r="A6" s="785"/>
      <c r="B6" s="70"/>
      <c r="C6" s="70"/>
      <c r="D6" s="70"/>
      <c r="E6" s="70"/>
      <c r="F6" s="70"/>
      <c r="G6" s="70"/>
      <c r="I6" s="72"/>
      <c r="J6" s="70"/>
      <c r="K6" s="73" t="s">
        <v>549</v>
      </c>
      <c r="L6" s="72"/>
      <c r="M6" s="70"/>
      <c r="N6" s="70"/>
      <c r="O6" s="70"/>
      <c r="P6" s="70"/>
      <c r="Q6" s="70"/>
      <c r="R6" s="70"/>
      <c r="S6" s="70"/>
      <c r="T6" s="70"/>
      <c r="U6" s="70"/>
      <c r="V6" s="70"/>
      <c r="W6" s="70"/>
      <c r="X6" s="70"/>
      <c r="Y6" s="70"/>
      <c r="Z6" s="70"/>
      <c r="AA6" s="70"/>
      <c r="AB6" s="70"/>
      <c r="AC6" s="70"/>
      <c r="AD6" s="70"/>
    </row>
    <row r="7" spans="1:30" ht="19.2" x14ac:dyDescent="0.7">
      <c r="A7" s="785"/>
      <c r="B7" s="70"/>
      <c r="C7" s="70"/>
      <c r="D7" s="70"/>
      <c r="E7" s="70"/>
      <c r="F7" s="70"/>
      <c r="G7" s="70"/>
      <c r="I7" s="72"/>
      <c r="J7" s="70"/>
      <c r="K7" s="73" t="s">
        <v>446</v>
      </c>
      <c r="L7" s="72"/>
      <c r="M7" s="70"/>
      <c r="N7" s="70"/>
      <c r="O7" s="70"/>
      <c r="P7" s="70"/>
      <c r="Q7" s="70"/>
      <c r="R7" s="70"/>
      <c r="S7" s="70"/>
      <c r="T7" s="70"/>
      <c r="U7" s="70"/>
      <c r="V7" s="70"/>
      <c r="W7" s="70"/>
      <c r="X7" s="70"/>
      <c r="Y7" s="70"/>
      <c r="Z7" s="70"/>
      <c r="AA7" s="70"/>
      <c r="AB7" s="70"/>
      <c r="AC7" s="70"/>
      <c r="AD7" s="70"/>
    </row>
    <row r="8" spans="1:30" ht="19.2" x14ac:dyDescent="0.7">
      <c r="A8" s="785"/>
      <c r="B8" s="70"/>
      <c r="C8" s="70"/>
      <c r="D8" s="70"/>
      <c r="E8" s="70"/>
      <c r="F8" s="70"/>
      <c r="G8" s="70"/>
      <c r="I8" s="72"/>
      <c r="J8" s="70"/>
      <c r="K8" s="73"/>
      <c r="L8" s="72"/>
      <c r="M8" s="70"/>
      <c r="N8" s="70"/>
      <c r="O8" s="70"/>
      <c r="P8" s="70"/>
      <c r="Q8" s="70"/>
      <c r="R8" s="70"/>
      <c r="S8" s="70"/>
      <c r="T8" s="70"/>
      <c r="U8" s="70"/>
      <c r="V8" s="70"/>
      <c r="W8" s="70"/>
      <c r="X8" s="70"/>
      <c r="Y8" s="70"/>
      <c r="Z8" s="70"/>
      <c r="AA8" s="70"/>
      <c r="AB8" s="70"/>
      <c r="AC8" s="70"/>
      <c r="AD8" s="70"/>
    </row>
    <row r="9" spans="1:30" ht="19.2" x14ac:dyDescent="0.7">
      <c r="A9" s="785"/>
      <c r="B9" s="70"/>
      <c r="C9" s="70"/>
      <c r="D9" s="70"/>
      <c r="E9" s="70"/>
      <c r="F9" s="70"/>
      <c r="G9" s="70"/>
      <c r="I9" s="72"/>
      <c r="J9" s="70"/>
      <c r="K9" s="73"/>
      <c r="L9" s="72"/>
      <c r="M9" s="70"/>
      <c r="N9" s="70"/>
      <c r="O9" s="70"/>
      <c r="P9" s="70"/>
      <c r="Q9" s="70"/>
      <c r="R9" s="70"/>
      <c r="S9" s="70"/>
      <c r="T9" s="70"/>
      <c r="U9" s="70"/>
      <c r="V9" s="70"/>
      <c r="W9" s="70"/>
      <c r="X9" s="70"/>
      <c r="Y9" s="70"/>
      <c r="Z9" s="70"/>
      <c r="AA9" s="70"/>
      <c r="AB9" s="70"/>
      <c r="AC9" s="70"/>
      <c r="AD9" s="70"/>
    </row>
    <row r="10" spans="1:30" ht="19.2" x14ac:dyDescent="0.7">
      <c r="A10" s="785"/>
      <c r="B10" s="70"/>
      <c r="C10" s="70"/>
      <c r="D10" s="70"/>
      <c r="E10" s="70"/>
      <c r="F10" s="70"/>
      <c r="G10" s="70"/>
      <c r="I10" s="72"/>
      <c r="J10" s="70"/>
      <c r="K10" s="73"/>
      <c r="L10" s="72"/>
      <c r="M10" s="70"/>
      <c r="N10" s="70"/>
      <c r="O10" s="70"/>
      <c r="P10" s="70"/>
      <c r="Q10" s="70"/>
      <c r="R10" s="70"/>
      <c r="S10" s="70"/>
      <c r="T10" s="70"/>
      <c r="U10" s="70"/>
      <c r="V10" s="70"/>
      <c r="W10" s="70"/>
      <c r="X10" s="70"/>
      <c r="Y10" s="70"/>
      <c r="Z10" s="70"/>
      <c r="AA10" s="70"/>
      <c r="AB10" s="70"/>
      <c r="AC10" s="70"/>
      <c r="AD10" s="70"/>
    </row>
    <row r="11" spans="1:30" ht="19.2" x14ac:dyDescent="0.7">
      <c r="A11" s="785"/>
      <c r="B11" s="70"/>
      <c r="C11" s="70"/>
      <c r="D11" s="70"/>
      <c r="E11" s="70"/>
      <c r="F11" s="70"/>
      <c r="G11" s="70"/>
      <c r="I11" s="72"/>
      <c r="J11" s="70"/>
      <c r="K11" s="73"/>
      <c r="L11" s="72"/>
      <c r="M11" s="70"/>
      <c r="N11" s="70"/>
      <c r="O11" s="70"/>
      <c r="P11" s="70"/>
      <c r="Q11" s="70"/>
      <c r="R11" s="70"/>
      <c r="S11" s="70"/>
      <c r="T11" s="70"/>
      <c r="U11" s="70"/>
      <c r="V11" s="70"/>
      <c r="W11" s="70"/>
      <c r="X11" s="70"/>
      <c r="Y11" s="70"/>
      <c r="Z11" s="70"/>
      <c r="AA11" s="70"/>
      <c r="AB11" s="70"/>
      <c r="AC11" s="70"/>
      <c r="AD11" s="70"/>
    </row>
    <row r="12" spans="1:30" s="74" customFormat="1" ht="27.6" customHeight="1" x14ac:dyDescent="0.7">
      <c r="A12" s="786"/>
      <c r="B12" s="75" t="s">
        <v>447</v>
      </c>
      <c r="I12" s="76"/>
      <c r="K12" s="77"/>
      <c r="L12" s="76"/>
    </row>
    <row r="13" spans="1:30" s="96" customFormat="1" ht="19.2" x14ac:dyDescent="0.7">
      <c r="A13" s="787"/>
      <c r="B13" s="80"/>
      <c r="C13" s="80"/>
      <c r="D13" s="80"/>
      <c r="E13" s="80"/>
      <c r="F13" s="80"/>
      <c r="G13" s="80"/>
      <c r="H13" s="95"/>
      <c r="I13" s="80"/>
      <c r="J13" s="80"/>
      <c r="K13" s="80"/>
      <c r="L13" s="80"/>
      <c r="M13" s="80"/>
      <c r="N13" s="80"/>
      <c r="O13" s="80"/>
      <c r="P13" s="80"/>
      <c r="Q13" s="80"/>
      <c r="R13" s="80"/>
      <c r="S13" s="80"/>
      <c r="T13" s="80"/>
      <c r="U13" s="80"/>
      <c r="V13" s="80"/>
      <c r="W13" s="80"/>
      <c r="X13" s="80"/>
      <c r="Y13" s="80"/>
      <c r="Z13" s="80"/>
      <c r="AA13" s="80"/>
      <c r="AB13" s="80"/>
      <c r="AC13" s="80"/>
      <c r="AD13" s="80"/>
    </row>
    <row r="14" spans="1:30" s="96" customFormat="1" ht="38.4" x14ac:dyDescent="1.4">
      <c r="A14" s="788"/>
      <c r="B14" s="104" t="s">
        <v>558</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row>
    <row r="15" spans="1:30" s="96" customFormat="1" x14ac:dyDescent="0.5">
      <c r="A15" s="787"/>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row>
    <row r="16" spans="1:30" s="96" customFormat="1" ht="16.8" x14ac:dyDescent="0.65">
      <c r="A16" s="788"/>
      <c r="C16" s="98" t="s">
        <v>448</v>
      </c>
      <c r="L16" s="99" t="s">
        <v>454</v>
      </c>
    </row>
    <row r="17" spans="1:30" s="96" customFormat="1" ht="15.6" x14ac:dyDescent="0.6">
      <c r="A17" s="787"/>
      <c r="C17" s="100" t="s">
        <v>548</v>
      </c>
      <c r="D17" s="101"/>
      <c r="F17" s="101"/>
      <c r="H17" s="102"/>
      <c r="I17" s="955" t="s">
        <v>73</v>
      </c>
      <c r="J17" s="955"/>
      <c r="K17" s="102"/>
      <c r="L17" s="102" t="s">
        <v>476</v>
      </c>
      <c r="M17" s="80"/>
      <c r="N17" s="80"/>
      <c r="O17" s="80"/>
      <c r="P17" s="80"/>
      <c r="Q17" s="80"/>
      <c r="R17" s="80"/>
      <c r="S17" s="80"/>
      <c r="T17" s="80"/>
      <c r="U17" s="103" t="s">
        <v>451</v>
      </c>
      <c r="X17" s="80"/>
      <c r="Y17" s="80"/>
      <c r="Z17" s="80"/>
      <c r="AA17" s="80"/>
      <c r="AB17" s="80"/>
      <c r="AC17" s="80"/>
      <c r="AD17" s="80"/>
    </row>
    <row r="18" spans="1:30" s="96" customFormat="1" ht="15.6" x14ac:dyDescent="0.6">
      <c r="A18" s="787"/>
      <c r="C18" s="100" t="s">
        <v>453</v>
      </c>
      <c r="D18" s="101"/>
      <c r="E18" s="101"/>
      <c r="F18" s="101"/>
      <c r="G18" s="101"/>
      <c r="H18" s="80"/>
      <c r="I18" s="80"/>
      <c r="J18" s="80"/>
      <c r="K18" s="80"/>
      <c r="L18" s="102" t="s">
        <v>614</v>
      </c>
      <c r="M18" s="80"/>
      <c r="N18" s="80"/>
      <c r="O18" s="80"/>
      <c r="P18" s="80"/>
      <c r="Q18" s="80"/>
      <c r="R18" s="80"/>
      <c r="S18" s="80"/>
      <c r="T18" s="80"/>
      <c r="U18" s="80"/>
      <c r="V18" s="80"/>
      <c r="X18" s="80"/>
      <c r="Y18" s="80"/>
      <c r="Z18" s="80"/>
      <c r="AA18" s="80"/>
      <c r="AB18" s="80"/>
      <c r="AC18" s="80"/>
      <c r="AD18" s="80"/>
    </row>
    <row r="19" spans="1:30" s="96" customFormat="1" ht="15.6" x14ac:dyDescent="0.6">
      <c r="A19" s="787"/>
      <c r="C19" s="100" t="s">
        <v>449</v>
      </c>
      <c r="D19" s="101"/>
      <c r="E19" s="101"/>
      <c r="F19" s="101"/>
      <c r="G19" s="101"/>
      <c r="H19" s="80"/>
      <c r="I19" s="80"/>
      <c r="J19" s="80"/>
      <c r="K19" s="80"/>
      <c r="L19" s="103" t="s">
        <v>576</v>
      </c>
      <c r="M19" s="80"/>
      <c r="N19" s="80"/>
      <c r="O19" s="80"/>
      <c r="P19" s="80"/>
      <c r="Q19" s="80"/>
      <c r="R19" s="80"/>
      <c r="S19" s="80"/>
      <c r="T19" s="80"/>
      <c r="U19" s="80"/>
      <c r="V19" s="80"/>
      <c r="W19" s="80"/>
      <c r="X19" s="80"/>
      <c r="Y19" s="80"/>
      <c r="Z19" s="80"/>
      <c r="AA19" s="80"/>
      <c r="AB19" s="80"/>
      <c r="AC19" s="80"/>
      <c r="AD19" s="80"/>
    </row>
    <row r="20" spans="1:30" s="96" customFormat="1" ht="15.6" x14ac:dyDescent="0.6">
      <c r="A20" s="787"/>
      <c r="C20" s="100" t="s">
        <v>450</v>
      </c>
      <c r="D20" s="101"/>
      <c r="E20" s="101"/>
      <c r="F20" s="101"/>
      <c r="G20" s="101"/>
      <c r="H20" s="80"/>
      <c r="J20" s="80"/>
      <c r="K20" s="80"/>
      <c r="L20" s="103" t="s">
        <v>452</v>
      </c>
      <c r="M20" s="80"/>
      <c r="N20" s="80"/>
      <c r="O20" s="80"/>
      <c r="P20" s="80"/>
      <c r="Q20" s="80"/>
      <c r="R20" s="80"/>
      <c r="S20" s="80"/>
      <c r="T20" s="80"/>
      <c r="U20" s="80"/>
      <c r="V20" s="80"/>
      <c r="W20" s="80"/>
      <c r="X20" s="80"/>
      <c r="Y20" s="80"/>
      <c r="Z20" s="80"/>
      <c r="AA20" s="80"/>
      <c r="AB20" s="80"/>
      <c r="AC20" s="80"/>
      <c r="AD20" s="80"/>
    </row>
    <row r="21" spans="1:30" s="96" customFormat="1" ht="15.6" x14ac:dyDescent="0.6">
      <c r="A21" s="787"/>
      <c r="C21" s="100"/>
      <c r="D21" s="101"/>
      <c r="E21" s="101"/>
      <c r="F21" s="101"/>
      <c r="G21" s="101"/>
      <c r="H21" s="80"/>
      <c r="J21" s="80"/>
      <c r="K21" s="80"/>
      <c r="L21" s="103"/>
      <c r="M21" s="80"/>
      <c r="N21" s="80"/>
      <c r="O21" s="80"/>
      <c r="P21" s="80"/>
      <c r="Q21" s="80"/>
      <c r="R21" s="80"/>
      <c r="S21" s="80"/>
      <c r="T21" s="80"/>
      <c r="U21" s="80"/>
      <c r="V21" s="80"/>
      <c r="W21" s="80"/>
      <c r="X21" s="80"/>
      <c r="Y21" s="80"/>
      <c r="Z21" s="80"/>
      <c r="AA21" s="80"/>
      <c r="AB21" s="80"/>
      <c r="AC21" s="80"/>
      <c r="AD21" s="80"/>
    </row>
    <row r="22" spans="1:30" s="96" customFormat="1" ht="15.6" x14ac:dyDescent="0.6">
      <c r="A22" s="787"/>
      <c r="C22" s="100"/>
      <c r="D22" s="101"/>
      <c r="E22" s="101"/>
      <c r="F22" s="101"/>
      <c r="G22" s="101"/>
      <c r="H22" s="80"/>
      <c r="J22" s="80"/>
      <c r="K22" s="80"/>
      <c r="L22" s="103"/>
      <c r="M22" s="80"/>
      <c r="N22" s="80"/>
      <c r="O22" s="80"/>
      <c r="P22" s="80"/>
      <c r="Q22" s="80"/>
      <c r="R22" s="80"/>
      <c r="S22" s="80"/>
      <c r="T22" s="80"/>
      <c r="U22" s="80"/>
      <c r="V22" s="80"/>
      <c r="W22" s="80"/>
      <c r="X22" s="80"/>
      <c r="Y22" s="80"/>
      <c r="Z22" s="80"/>
      <c r="AA22" s="80"/>
      <c r="AB22" s="80"/>
      <c r="AC22" s="80"/>
      <c r="AD22" s="80"/>
    </row>
    <row r="23" spans="1:30" s="90" customFormat="1" ht="6.6" customHeight="1" x14ac:dyDescent="0.6">
      <c r="A23" s="789"/>
      <c r="C23" s="91"/>
      <c r="D23" s="92"/>
      <c r="E23" s="92"/>
      <c r="F23" s="92"/>
      <c r="G23" s="92"/>
      <c r="H23" s="89"/>
      <c r="J23" s="89"/>
      <c r="K23" s="89"/>
      <c r="L23" s="93"/>
      <c r="M23" s="89"/>
      <c r="N23" s="89"/>
      <c r="O23" s="89"/>
      <c r="P23" s="89"/>
      <c r="Q23" s="89"/>
      <c r="R23" s="89"/>
      <c r="S23" s="89"/>
      <c r="T23" s="89"/>
      <c r="U23" s="89"/>
      <c r="V23" s="89"/>
      <c r="W23" s="89"/>
      <c r="X23" s="89"/>
      <c r="Y23" s="89"/>
      <c r="Z23" s="89"/>
      <c r="AA23" s="89"/>
      <c r="AB23" s="89"/>
      <c r="AC23" s="89"/>
      <c r="AD23" s="89"/>
    </row>
    <row r="24" spans="1:30" x14ac:dyDescent="0.5">
      <c r="A24" s="785"/>
      <c r="L24" s="70"/>
      <c r="M24" s="70"/>
      <c r="N24" s="70"/>
      <c r="O24" s="70"/>
      <c r="P24" s="70"/>
      <c r="Q24" s="70"/>
      <c r="R24" s="70"/>
      <c r="S24" s="70"/>
      <c r="T24" s="70"/>
      <c r="U24" s="70"/>
      <c r="V24" s="70"/>
      <c r="W24" s="70"/>
      <c r="X24" s="70"/>
      <c r="Y24" s="70"/>
      <c r="Z24" s="70"/>
      <c r="AA24" s="70"/>
      <c r="AB24" s="70"/>
      <c r="AC24" s="70"/>
      <c r="AD24" s="70"/>
    </row>
    <row r="25" spans="1:30" ht="21.6" customHeight="1" x14ac:dyDescent="0.5">
      <c r="A25" s="785"/>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1:30" x14ac:dyDescent="0.5">
      <c r="A26" s="785"/>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1:30" x14ac:dyDescent="0.5">
      <c r="A27" s="785"/>
      <c r="B27" s="81" t="s">
        <v>456</v>
      </c>
      <c r="C27" s="70"/>
      <c r="D27" s="70"/>
      <c r="E27" s="79" t="s">
        <v>455</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1:30" x14ac:dyDescent="0.5">
      <c r="A28" s="78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1:30" ht="21.6" customHeight="1" x14ac:dyDescent="0.5">
      <c r="A29" s="785"/>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1:30" x14ac:dyDescent="0.5">
      <c r="A30" s="785"/>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1:30" x14ac:dyDescent="0.5">
      <c r="A31" s="785"/>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1:30" x14ac:dyDescent="0.5">
      <c r="A32" s="785"/>
      <c r="B32" s="70"/>
      <c r="C32" s="70"/>
      <c r="D32" s="70"/>
      <c r="E32" s="70"/>
      <c r="F32" s="70"/>
      <c r="G32" s="70"/>
      <c r="H32" s="70"/>
      <c r="I32" s="70"/>
      <c r="J32" s="82" t="s">
        <v>457</v>
      </c>
      <c r="K32" s="70"/>
      <c r="L32" s="70"/>
      <c r="M32" s="70"/>
      <c r="N32" s="70"/>
      <c r="O32" s="86" t="s">
        <v>454</v>
      </c>
      <c r="P32" s="70"/>
      <c r="Q32" s="70"/>
      <c r="R32" s="70"/>
      <c r="S32" s="70"/>
      <c r="T32" s="70"/>
      <c r="U32" s="70"/>
      <c r="V32" s="70"/>
      <c r="W32" s="70"/>
      <c r="X32" s="70"/>
      <c r="Y32" s="70"/>
      <c r="Z32" s="70"/>
      <c r="AA32" s="70"/>
      <c r="AB32" s="70"/>
      <c r="AC32" s="70"/>
      <c r="AD32" s="70"/>
    </row>
    <row r="33" spans="1:30" x14ac:dyDescent="0.5">
      <c r="A33" s="785"/>
      <c r="B33" s="70"/>
      <c r="C33" s="70"/>
      <c r="D33" s="70"/>
      <c r="E33" s="70"/>
      <c r="F33" s="70"/>
      <c r="G33" s="70"/>
      <c r="H33" s="70"/>
      <c r="I33" s="70"/>
      <c r="J33" s="82"/>
      <c r="K33" s="70"/>
      <c r="L33" s="70"/>
      <c r="M33" s="70"/>
      <c r="N33" s="70"/>
      <c r="O33" s="70"/>
      <c r="P33" s="70"/>
      <c r="Q33" s="70"/>
      <c r="R33" s="70"/>
      <c r="S33" s="70"/>
      <c r="T33" s="70"/>
      <c r="U33" s="70"/>
      <c r="V33" s="70"/>
      <c r="W33" s="70"/>
      <c r="X33" s="70"/>
      <c r="Y33" s="70"/>
      <c r="Z33" s="70"/>
      <c r="AA33" s="70"/>
      <c r="AB33" s="70"/>
      <c r="AC33" s="70"/>
      <c r="AD33" s="70"/>
    </row>
    <row r="34" spans="1:30" s="78" customFormat="1" x14ac:dyDescent="0.5">
      <c r="A34" s="790"/>
      <c r="B34" s="81" t="s">
        <v>460</v>
      </c>
      <c r="J34" s="81" t="s">
        <v>95</v>
      </c>
      <c r="O34" s="85" t="s">
        <v>458</v>
      </c>
    </row>
    <row r="35" spans="1:30" s="78" customFormat="1" x14ac:dyDescent="0.5">
      <c r="A35" s="790"/>
      <c r="B35" s="81" t="s">
        <v>74</v>
      </c>
      <c r="J35" s="81" t="s">
        <v>397</v>
      </c>
      <c r="O35" s="85"/>
    </row>
    <row r="36" spans="1:30" s="78" customFormat="1" x14ac:dyDescent="0.5">
      <c r="A36" s="790"/>
      <c r="B36" s="81" t="s">
        <v>75</v>
      </c>
      <c r="J36" s="81" t="s">
        <v>76</v>
      </c>
      <c r="O36" s="85" t="s">
        <v>459</v>
      </c>
    </row>
    <row r="37" spans="1:30" s="78" customFormat="1" x14ac:dyDescent="0.5">
      <c r="A37" s="790"/>
      <c r="B37" s="81" t="str" cm="1">
        <f t="array" ref="B37">_xlfn.IFS(J36="JA","Handelsnaam",TRUE,"")</f>
        <v>Handelsnaam</v>
      </c>
      <c r="J37" s="81" t="s">
        <v>390</v>
      </c>
      <c r="O37" s="85"/>
    </row>
    <row r="38" spans="1:30" s="78" customFormat="1" x14ac:dyDescent="0.5">
      <c r="A38" s="790"/>
      <c r="B38" s="81" t="s">
        <v>77</v>
      </c>
      <c r="J38" s="81" t="s">
        <v>76</v>
      </c>
    </row>
    <row r="39" spans="1:30" s="78" customFormat="1" x14ac:dyDescent="0.5">
      <c r="A39" s="790"/>
      <c r="B39" s="81" t="str" cm="1">
        <f t="array" ref="B39">_xlfn.IFS(J38="JA","Welke CAO is van toepassing?",TRUE,"")</f>
        <v>Welke CAO is van toepassing?</v>
      </c>
      <c r="J39" s="81" t="s">
        <v>79</v>
      </c>
    </row>
    <row r="40" spans="1:30" s="78" customFormat="1" x14ac:dyDescent="0.5">
      <c r="A40" s="790"/>
      <c r="B40" s="81"/>
      <c r="J40" s="81"/>
    </row>
    <row r="41" spans="1:30" s="78" customFormat="1" x14ac:dyDescent="0.5">
      <c r="A41" s="790"/>
      <c r="B41" s="82" t="s">
        <v>461</v>
      </c>
      <c r="J41" s="82" t="s">
        <v>457</v>
      </c>
      <c r="O41" s="86" t="s">
        <v>454</v>
      </c>
    </row>
    <row r="42" spans="1:30" x14ac:dyDescent="0.5">
      <c r="A42" s="791"/>
      <c r="B42" s="81" t="s">
        <v>78</v>
      </c>
      <c r="C42" s="71"/>
      <c r="J42" s="81" t="s">
        <v>80</v>
      </c>
      <c r="M42" s="71"/>
      <c r="N42" s="71"/>
      <c r="O42" s="71"/>
      <c r="P42" s="71"/>
      <c r="Q42" s="71"/>
      <c r="R42" s="71"/>
      <c r="S42" s="71"/>
      <c r="T42" s="71"/>
      <c r="U42" s="71"/>
      <c r="V42" s="71"/>
      <c r="W42" s="71"/>
      <c r="X42" s="71"/>
      <c r="Y42" s="71"/>
      <c r="Z42" s="71"/>
      <c r="AA42" s="71"/>
      <c r="AB42" s="71"/>
      <c r="AC42" s="71"/>
      <c r="AD42" s="71"/>
    </row>
    <row r="43" spans="1:30" x14ac:dyDescent="0.5">
      <c r="B43" s="81" t="s">
        <v>81</v>
      </c>
      <c r="J43" s="81" t="s">
        <v>394</v>
      </c>
    </row>
    <row r="44" spans="1:30" x14ac:dyDescent="0.5">
      <c r="B44" s="81" t="s">
        <v>82</v>
      </c>
      <c r="C44" s="83"/>
      <c r="J44" s="87">
        <v>28</v>
      </c>
      <c r="M44" s="83"/>
      <c r="N44" s="83"/>
      <c r="O44" s="81"/>
      <c r="P44" s="81"/>
      <c r="Q44" s="81"/>
      <c r="R44" s="81"/>
      <c r="S44" s="83"/>
      <c r="T44" s="83"/>
      <c r="U44" s="83"/>
      <c r="V44" s="83"/>
      <c r="W44" s="83"/>
      <c r="X44" s="83"/>
      <c r="Y44" s="83"/>
      <c r="Z44" s="83"/>
      <c r="AA44" s="83"/>
      <c r="AB44" s="83"/>
      <c r="AC44" s="83"/>
      <c r="AD44" s="83"/>
    </row>
    <row r="45" spans="1:30" x14ac:dyDescent="0.5">
      <c r="A45" s="792"/>
      <c r="B45" s="81" t="s">
        <v>83</v>
      </c>
      <c r="C45" s="83"/>
      <c r="J45" s="81" t="s">
        <v>462</v>
      </c>
      <c r="M45" s="83"/>
      <c r="N45" s="83"/>
      <c r="O45" s="81"/>
      <c r="P45" s="81"/>
      <c r="Q45" s="81"/>
      <c r="R45" s="81"/>
      <c r="S45" s="83"/>
      <c r="T45" s="83"/>
      <c r="U45" s="83"/>
      <c r="V45" s="83"/>
      <c r="W45" s="83"/>
      <c r="X45" s="83"/>
      <c r="Y45" s="83"/>
      <c r="Z45" s="83"/>
      <c r="AA45" s="83"/>
      <c r="AB45" s="83"/>
      <c r="AC45" s="83"/>
      <c r="AD45" s="83"/>
    </row>
    <row r="46" spans="1:30" x14ac:dyDescent="0.5">
      <c r="B46" s="81" t="s">
        <v>101</v>
      </c>
      <c r="C46" s="83"/>
      <c r="J46" s="81" t="s">
        <v>391</v>
      </c>
      <c r="N46" s="83"/>
      <c r="O46" s="81"/>
      <c r="P46" s="81"/>
      <c r="Q46" s="81"/>
      <c r="R46" s="81"/>
      <c r="S46" s="83"/>
      <c r="T46" s="83"/>
      <c r="U46" s="83"/>
      <c r="V46" s="83"/>
      <c r="W46" s="83"/>
      <c r="X46" s="83"/>
      <c r="Y46" s="83"/>
      <c r="Z46" s="83"/>
      <c r="AA46" s="83"/>
      <c r="AB46" s="83"/>
      <c r="AC46" s="83"/>
      <c r="AD46" s="83"/>
    </row>
    <row r="47" spans="1:30" x14ac:dyDescent="0.5">
      <c r="B47" s="81" t="s">
        <v>102</v>
      </c>
      <c r="C47" s="83"/>
      <c r="J47" s="81" t="s">
        <v>199</v>
      </c>
      <c r="N47" s="83"/>
      <c r="O47" s="81"/>
      <c r="P47" s="81"/>
      <c r="Q47" s="81"/>
      <c r="R47" s="81"/>
      <c r="S47" s="83"/>
      <c r="T47" s="83"/>
      <c r="U47" s="83"/>
      <c r="V47" s="83"/>
      <c r="W47" s="83"/>
      <c r="X47" s="83"/>
      <c r="Y47" s="83"/>
      <c r="Z47" s="83"/>
      <c r="AA47" s="83"/>
      <c r="AB47" s="83"/>
      <c r="AC47" s="83"/>
      <c r="AD47" s="83"/>
    </row>
    <row r="48" spans="1:30" x14ac:dyDescent="0.5">
      <c r="A48" s="793"/>
      <c r="B48" s="81"/>
      <c r="C48" s="83"/>
      <c r="J48" s="83"/>
      <c r="M48" s="83"/>
      <c r="N48" s="83"/>
      <c r="O48" s="81"/>
      <c r="P48" s="81"/>
      <c r="Q48" s="81"/>
      <c r="R48" s="81"/>
      <c r="S48" s="83"/>
      <c r="T48" s="83"/>
      <c r="U48" s="83"/>
      <c r="V48" s="83"/>
      <c r="W48" s="83"/>
      <c r="X48" s="83"/>
      <c r="Y48" s="83"/>
      <c r="Z48" s="83"/>
      <c r="AA48" s="83"/>
      <c r="AB48" s="83"/>
      <c r="AC48" s="83"/>
      <c r="AD48" s="83"/>
    </row>
    <row r="49" spans="1:30" x14ac:dyDescent="0.5">
      <c r="A49" s="793"/>
      <c r="B49" s="82" t="s">
        <v>463</v>
      </c>
      <c r="C49" s="83"/>
      <c r="J49" s="82" t="s">
        <v>457</v>
      </c>
      <c r="M49" s="83"/>
      <c r="N49" s="83"/>
      <c r="O49" s="86" t="s">
        <v>454</v>
      </c>
      <c r="P49" s="81"/>
      <c r="Q49" s="81"/>
      <c r="R49" s="81"/>
      <c r="S49" s="83"/>
      <c r="T49" s="83"/>
      <c r="U49" s="83"/>
      <c r="V49" s="83"/>
      <c r="W49" s="83"/>
      <c r="X49" s="83"/>
      <c r="Y49" s="83"/>
      <c r="Z49" s="83"/>
      <c r="AA49" s="83"/>
      <c r="AB49" s="83"/>
      <c r="AC49" s="83"/>
      <c r="AD49" s="83"/>
    </row>
    <row r="50" spans="1:30" x14ac:dyDescent="0.5">
      <c r="A50" s="793"/>
      <c r="B50" s="81" t="s">
        <v>85</v>
      </c>
      <c r="C50" s="83"/>
      <c r="J50" s="81" t="s">
        <v>76</v>
      </c>
      <c r="M50" s="83"/>
      <c r="N50" s="83"/>
      <c r="O50" s="85" t="s">
        <v>84</v>
      </c>
      <c r="P50" s="81"/>
      <c r="Q50" s="81"/>
      <c r="R50" s="81"/>
      <c r="S50" s="83"/>
      <c r="T50" s="83"/>
      <c r="U50" s="83"/>
      <c r="V50" s="83"/>
      <c r="W50" s="83"/>
      <c r="X50" s="83"/>
      <c r="Y50" s="83"/>
      <c r="Z50" s="83"/>
      <c r="AA50" s="83"/>
      <c r="AB50" s="83"/>
      <c r="AC50" s="83"/>
      <c r="AD50" s="83"/>
    </row>
    <row r="51" spans="1:30" x14ac:dyDescent="0.5">
      <c r="A51" s="793"/>
      <c r="B51" s="81" t="str" cm="1">
        <f t="array" ref="B51">_xlfn.IFS(J50="Nee","",TRUE,"Land")</f>
        <v>Land</v>
      </c>
      <c r="C51" s="71"/>
      <c r="J51" s="81" t="s">
        <v>80</v>
      </c>
      <c r="M51" s="83"/>
      <c r="N51" s="83"/>
      <c r="O51" s="81"/>
      <c r="P51" s="81"/>
      <c r="Q51" s="81"/>
      <c r="R51" s="81"/>
      <c r="S51" s="83"/>
      <c r="T51" s="83"/>
      <c r="U51" s="83"/>
      <c r="V51" s="83"/>
      <c r="W51" s="83"/>
      <c r="X51" s="83"/>
      <c r="Y51" s="83"/>
      <c r="Z51" s="83"/>
      <c r="AA51" s="83"/>
      <c r="AB51" s="83"/>
      <c r="AC51" s="83"/>
      <c r="AD51" s="83"/>
    </row>
    <row r="52" spans="1:30" x14ac:dyDescent="0.5">
      <c r="A52" s="793"/>
      <c r="B52" s="81" t="str" cm="1">
        <f t="array" ref="B52">_xlfn.IFS(J50="Nee","",TRUE,"Postcode")</f>
        <v>Postcode</v>
      </c>
      <c r="J52" s="81" t="s">
        <v>465</v>
      </c>
      <c r="M52" s="83"/>
      <c r="N52" s="83"/>
      <c r="O52" s="81"/>
      <c r="P52" s="81"/>
      <c r="Q52" s="81"/>
      <c r="R52" s="81"/>
      <c r="S52" s="83"/>
      <c r="T52" s="83"/>
      <c r="U52" s="83"/>
      <c r="V52" s="83"/>
      <c r="W52" s="83"/>
      <c r="X52" s="83"/>
      <c r="Y52" s="83"/>
      <c r="Z52" s="83"/>
      <c r="AA52" s="83"/>
      <c r="AB52" s="83"/>
      <c r="AC52" s="83"/>
      <c r="AD52" s="83"/>
    </row>
    <row r="53" spans="1:30" x14ac:dyDescent="0.5">
      <c r="A53" s="793"/>
      <c r="B53" s="81" t="str" cm="1">
        <f t="array" ref="B53">_xlfn.IFS(J50="Nee","",TRUE,"Huisnummer/Postbusnummer")</f>
        <v>Huisnummer/Postbusnummer</v>
      </c>
      <c r="C53" s="83"/>
      <c r="J53" s="87">
        <v>12</v>
      </c>
      <c r="M53" s="83"/>
      <c r="N53" s="83"/>
      <c r="O53" s="81"/>
      <c r="P53" s="81"/>
      <c r="Q53" s="81"/>
      <c r="R53" s="81"/>
      <c r="S53" s="83"/>
      <c r="T53" s="83"/>
      <c r="U53" s="83"/>
      <c r="V53" s="83"/>
      <c r="W53" s="83"/>
      <c r="X53" s="83"/>
      <c r="Y53" s="83"/>
      <c r="Z53" s="83"/>
      <c r="AA53" s="83"/>
      <c r="AB53" s="83"/>
      <c r="AC53" s="83"/>
      <c r="AD53" s="83"/>
    </row>
    <row r="54" spans="1:30" x14ac:dyDescent="0.5">
      <c r="A54" s="793"/>
      <c r="B54" s="81" t="str" cm="1">
        <f t="array" ref="B54">_xlfn.IFS(J50="Nee","",TRUE,"Toevoeging")</f>
        <v>Toevoeging</v>
      </c>
      <c r="C54" s="83"/>
      <c r="J54" s="81" t="s">
        <v>209</v>
      </c>
      <c r="M54" s="83"/>
      <c r="N54" s="83"/>
      <c r="O54" s="81"/>
      <c r="P54" s="81"/>
      <c r="Q54" s="81"/>
      <c r="R54" s="81"/>
      <c r="S54" s="83"/>
      <c r="T54" s="83"/>
      <c r="U54" s="83"/>
      <c r="V54" s="83"/>
      <c r="W54" s="83"/>
      <c r="X54" s="83"/>
      <c r="Y54" s="83"/>
      <c r="Z54" s="83"/>
      <c r="AA54" s="83"/>
      <c r="AB54" s="83"/>
      <c r="AC54" s="83"/>
      <c r="AD54" s="83"/>
    </row>
    <row r="55" spans="1:30" x14ac:dyDescent="0.5">
      <c r="A55" s="793"/>
      <c r="B55" s="81" t="str" cm="1">
        <f t="array" ref="B55">_xlfn.IFS(J50="Nee","",TRUE,"Straat")</f>
        <v>Straat</v>
      </c>
      <c r="C55" s="83"/>
      <c r="J55" s="81" t="s">
        <v>464</v>
      </c>
      <c r="M55" s="83"/>
      <c r="N55" s="83"/>
      <c r="O55" s="81"/>
      <c r="P55" s="81"/>
      <c r="Q55" s="81"/>
      <c r="R55" s="81"/>
      <c r="S55" s="83"/>
      <c r="T55" s="83"/>
      <c r="U55" s="83"/>
      <c r="V55" s="83"/>
      <c r="W55" s="83"/>
      <c r="X55" s="83"/>
      <c r="Y55" s="83"/>
      <c r="Z55" s="83"/>
      <c r="AA55" s="83"/>
      <c r="AB55" s="83"/>
      <c r="AC55" s="83"/>
      <c r="AD55" s="83"/>
    </row>
    <row r="56" spans="1:30" x14ac:dyDescent="0.5">
      <c r="A56" s="793"/>
      <c r="B56" s="81" t="str" cm="1">
        <f t="array" ref="B56">_xlfn.IFS(J50="Nee","",TRUE,"Plaats")</f>
        <v>Plaats</v>
      </c>
      <c r="C56" s="83"/>
      <c r="J56" s="81" t="s">
        <v>105</v>
      </c>
      <c r="M56" s="83"/>
      <c r="N56" s="83"/>
      <c r="O56" s="81"/>
      <c r="P56" s="81"/>
      <c r="Q56" s="81"/>
      <c r="R56" s="81"/>
      <c r="S56" s="83"/>
      <c r="T56" s="83"/>
      <c r="U56" s="83"/>
      <c r="V56" s="83"/>
      <c r="W56" s="83"/>
      <c r="X56" s="83"/>
      <c r="Y56" s="83"/>
      <c r="Z56" s="83"/>
      <c r="AA56" s="83"/>
      <c r="AB56" s="83"/>
      <c r="AC56" s="83"/>
      <c r="AD56" s="83"/>
    </row>
    <row r="57" spans="1:30" x14ac:dyDescent="0.5">
      <c r="A57" s="793"/>
      <c r="B57" s="81"/>
      <c r="C57" s="83"/>
      <c r="J57" s="81"/>
      <c r="M57" s="83"/>
      <c r="N57" s="83"/>
      <c r="O57" s="81"/>
      <c r="P57" s="81"/>
      <c r="Q57" s="81"/>
      <c r="R57" s="81"/>
      <c r="S57" s="83"/>
      <c r="T57" s="83"/>
      <c r="U57" s="83"/>
      <c r="V57" s="83"/>
      <c r="W57" s="83"/>
      <c r="X57" s="83"/>
      <c r="Y57" s="83"/>
      <c r="Z57" s="83"/>
      <c r="AA57" s="83"/>
      <c r="AB57" s="83"/>
      <c r="AC57" s="83"/>
      <c r="AD57" s="83"/>
    </row>
    <row r="58" spans="1:30" x14ac:dyDescent="0.5">
      <c r="A58" s="793"/>
      <c r="B58" s="82" t="s">
        <v>86</v>
      </c>
      <c r="C58" s="83"/>
      <c r="J58" s="82" t="s">
        <v>457</v>
      </c>
      <c r="M58" s="83"/>
      <c r="N58" s="83"/>
      <c r="O58" s="86" t="s">
        <v>454</v>
      </c>
      <c r="P58" s="81"/>
      <c r="Q58" s="81"/>
      <c r="R58" s="81"/>
      <c r="S58" s="83"/>
      <c r="T58" s="83"/>
      <c r="U58" s="83"/>
      <c r="V58" s="83"/>
      <c r="W58" s="83"/>
      <c r="X58" s="83"/>
      <c r="Y58" s="83"/>
      <c r="Z58" s="83"/>
      <c r="AA58" s="83"/>
      <c r="AB58" s="83"/>
      <c r="AC58" s="83"/>
      <c r="AD58" s="83"/>
    </row>
    <row r="59" spans="1:30" x14ac:dyDescent="0.5">
      <c r="A59" s="793"/>
      <c r="B59" s="81" t="s">
        <v>87</v>
      </c>
      <c r="C59" s="81"/>
      <c r="J59" s="81" t="s">
        <v>395</v>
      </c>
      <c r="M59" s="83"/>
      <c r="N59" s="83"/>
      <c r="O59" s="81"/>
      <c r="P59" s="81"/>
      <c r="Q59" s="81"/>
      <c r="R59" s="81"/>
      <c r="S59" s="83"/>
      <c r="T59" s="83"/>
      <c r="U59" s="83"/>
      <c r="V59" s="83"/>
      <c r="W59" s="83"/>
      <c r="X59" s="83"/>
      <c r="Y59" s="83"/>
      <c r="Z59" s="83"/>
      <c r="AA59" s="83"/>
      <c r="AB59" s="83"/>
      <c r="AC59" s="83"/>
      <c r="AD59" s="83"/>
    </row>
    <row r="60" spans="1:30" x14ac:dyDescent="0.5">
      <c r="A60" s="793"/>
      <c r="B60" s="81" t="s">
        <v>97</v>
      </c>
      <c r="C60" s="81"/>
      <c r="J60" s="81" t="s">
        <v>129</v>
      </c>
      <c r="M60" s="83"/>
      <c r="N60" s="83"/>
      <c r="O60" s="81"/>
      <c r="P60" s="81"/>
      <c r="Q60" s="81"/>
      <c r="R60" s="81"/>
      <c r="S60" s="83"/>
      <c r="T60" s="83"/>
      <c r="U60" s="83"/>
      <c r="V60" s="83"/>
      <c r="W60" s="83"/>
      <c r="X60" s="83"/>
      <c r="Y60" s="83"/>
      <c r="Z60" s="83"/>
      <c r="AA60" s="83"/>
      <c r="AB60" s="83"/>
      <c r="AC60" s="83"/>
      <c r="AD60" s="83"/>
    </row>
    <row r="61" spans="1:30" x14ac:dyDescent="0.5">
      <c r="A61" s="793"/>
      <c r="B61" s="81" t="s">
        <v>88</v>
      </c>
      <c r="C61" s="81"/>
      <c r="J61" s="81" t="s">
        <v>466</v>
      </c>
      <c r="M61" s="83"/>
      <c r="N61" s="83"/>
      <c r="O61" s="81"/>
      <c r="P61" s="81"/>
      <c r="Q61" s="81"/>
      <c r="R61" s="81"/>
      <c r="S61" s="83"/>
      <c r="T61" s="83"/>
      <c r="U61" s="83"/>
      <c r="V61" s="83"/>
      <c r="W61" s="83"/>
      <c r="X61" s="83"/>
      <c r="Y61" s="83"/>
      <c r="Z61" s="83"/>
      <c r="AA61" s="83"/>
      <c r="AB61" s="83"/>
      <c r="AC61" s="83"/>
      <c r="AD61" s="83"/>
    </row>
    <row r="62" spans="1:30" x14ac:dyDescent="0.5">
      <c r="A62" s="793"/>
      <c r="B62" s="81" t="s">
        <v>89</v>
      </c>
      <c r="C62" s="83"/>
      <c r="J62" s="87" t="s">
        <v>396</v>
      </c>
      <c r="M62" s="83"/>
      <c r="N62" s="83"/>
      <c r="O62" s="81"/>
      <c r="P62" s="81"/>
      <c r="Q62" s="81"/>
      <c r="R62" s="81"/>
      <c r="S62" s="83"/>
      <c r="T62" s="83"/>
      <c r="U62" s="83"/>
      <c r="V62" s="83"/>
      <c r="W62" s="83"/>
      <c r="X62" s="83"/>
      <c r="Y62" s="83"/>
      <c r="Z62" s="83"/>
      <c r="AA62" s="83"/>
      <c r="AB62" s="83"/>
      <c r="AC62" s="83"/>
      <c r="AD62" s="83"/>
    </row>
    <row r="63" spans="1:30" x14ac:dyDescent="0.5">
      <c r="A63" s="793"/>
      <c r="B63" s="81" t="s">
        <v>467</v>
      </c>
      <c r="C63" s="83"/>
      <c r="J63" s="81" t="s">
        <v>399</v>
      </c>
      <c r="M63" s="83"/>
      <c r="N63" s="83"/>
      <c r="O63" s="81"/>
      <c r="P63" s="81"/>
      <c r="Q63" s="81"/>
      <c r="R63" s="81"/>
      <c r="S63" s="83"/>
      <c r="T63" s="83"/>
      <c r="U63" s="83"/>
      <c r="V63" s="83"/>
      <c r="W63" s="83"/>
      <c r="X63" s="83"/>
      <c r="Y63" s="83"/>
      <c r="Z63" s="83"/>
      <c r="AA63" s="83"/>
      <c r="AB63" s="83"/>
      <c r="AC63" s="83"/>
      <c r="AD63" s="83"/>
    </row>
    <row r="64" spans="1:30" x14ac:dyDescent="0.5">
      <c r="A64" s="793"/>
      <c r="B64" s="81" t="s">
        <v>468</v>
      </c>
      <c r="C64" s="83"/>
      <c r="J64" s="81" t="s">
        <v>469</v>
      </c>
      <c r="M64" s="83"/>
      <c r="N64" s="83"/>
      <c r="O64" s="81"/>
      <c r="P64" s="81"/>
      <c r="Q64" s="81"/>
      <c r="R64" s="81"/>
      <c r="S64" s="83"/>
      <c r="T64" s="83"/>
      <c r="U64" s="83"/>
      <c r="V64" s="83"/>
      <c r="W64" s="83"/>
      <c r="X64" s="83"/>
      <c r="Y64" s="83"/>
      <c r="Z64" s="83"/>
      <c r="AA64" s="83"/>
      <c r="AB64" s="83"/>
      <c r="AC64" s="83"/>
      <c r="AD64" s="83"/>
    </row>
    <row r="65" spans="1:30" x14ac:dyDescent="0.5">
      <c r="A65" s="793"/>
      <c r="B65" s="81"/>
      <c r="C65" s="83"/>
      <c r="J65" s="81"/>
      <c r="M65" s="83"/>
      <c r="N65" s="83"/>
      <c r="O65" s="81"/>
      <c r="P65" s="81"/>
      <c r="Q65" s="81"/>
      <c r="R65" s="81"/>
      <c r="S65" s="83"/>
      <c r="T65" s="83"/>
      <c r="U65" s="83"/>
      <c r="V65" s="83"/>
      <c r="W65" s="83"/>
      <c r="X65" s="83"/>
      <c r="Y65" s="83"/>
      <c r="Z65" s="83"/>
      <c r="AA65" s="83"/>
      <c r="AB65" s="83"/>
      <c r="AC65" s="83"/>
      <c r="AD65" s="83"/>
    </row>
    <row r="66" spans="1:30" x14ac:dyDescent="0.5">
      <c r="A66" s="793"/>
      <c r="B66" s="82" t="s">
        <v>470</v>
      </c>
      <c r="C66" s="83"/>
      <c r="J66" s="82" t="s">
        <v>457</v>
      </c>
      <c r="M66" s="83"/>
      <c r="N66" s="83"/>
      <c r="O66" s="86" t="s">
        <v>454</v>
      </c>
      <c r="P66" s="81"/>
      <c r="Q66" s="81"/>
      <c r="R66" s="81"/>
      <c r="S66" s="83"/>
      <c r="T66" s="83"/>
      <c r="U66" s="83"/>
      <c r="V66" s="83"/>
      <c r="W66" s="83"/>
      <c r="X66" s="83"/>
      <c r="Y66" s="83"/>
      <c r="Z66" s="83"/>
      <c r="AA66" s="83"/>
      <c r="AB66" s="83"/>
      <c r="AC66" s="83"/>
      <c r="AD66" s="83"/>
    </row>
    <row r="67" spans="1:30" x14ac:dyDescent="0.5">
      <c r="A67" s="793"/>
      <c r="B67" s="81" t="s">
        <v>90</v>
      </c>
      <c r="C67" s="81"/>
      <c r="D67" s="81"/>
      <c r="J67" s="81" t="s">
        <v>398</v>
      </c>
      <c r="M67" s="83"/>
      <c r="N67" s="83"/>
      <c r="O67" s="81"/>
      <c r="P67" s="81"/>
      <c r="Q67" s="81"/>
      <c r="R67" s="81"/>
      <c r="S67" s="83"/>
      <c r="T67" s="83"/>
      <c r="U67" s="83"/>
      <c r="V67" s="83"/>
      <c r="W67" s="83"/>
      <c r="X67" s="83"/>
      <c r="Y67" s="83"/>
      <c r="Z67" s="83"/>
      <c r="AA67" s="83"/>
      <c r="AB67" s="83"/>
      <c r="AC67" s="83"/>
      <c r="AD67" s="83"/>
    </row>
    <row r="68" spans="1:30" x14ac:dyDescent="0.5">
      <c r="B68" s="81" t="s">
        <v>91</v>
      </c>
      <c r="C68" s="81"/>
      <c r="D68" s="81"/>
      <c r="J68" s="87">
        <v>57538158</v>
      </c>
      <c r="M68" s="83"/>
      <c r="N68" s="83"/>
      <c r="O68" s="81"/>
      <c r="P68" s="81"/>
      <c r="R68" s="81"/>
      <c r="S68" s="83"/>
      <c r="T68" s="83"/>
      <c r="U68" s="83"/>
      <c r="V68" s="83"/>
      <c r="W68" s="83"/>
      <c r="X68" s="83"/>
      <c r="Y68" s="83"/>
      <c r="Z68" s="83"/>
      <c r="AA68" s="83"/>
      <c r="AB68" s="83"/>
      <c r="AC68" s="83"/>
      <c r="AD68" s="83"/>
    </row>
    <row r="69" spans="1:30" x14ac:dyDescent="0.5">
      <c r="B69" s="81" t="s">
        <v>92</v>
      </c>
      <c r="C69" s="81"/>
      <c r="D69" s="81"/>
      <c r="J69" s="87">
        <v>852624517</v>
      </c>
      <c r="M69" s="84"/>
      <c r="N69" s="84"/>
      <c r="O69" s="85" t="s">
        <v>93</v>
      </c>
      <c r="Q69" s="81"/>
      <c r="R69" s="81"/>
      <c r="S69" s="84"/>
      <c r="T69" s="84"/>
      <c r="U69" s="84"/>
      <c r="V69" s="84"/>
      <c r="W69" s="84"/>
      <c r="X69" s="84"/>
      <c r="Y69" s="84"/>
      <c r="Z69" s="84"/>
      <c r="AA69" s="84"/>
      <c r="AB69" s="84"/>
      <c r="AC69" s="84"/>
      <c r="AD69" s="84"/>
    </row>
    <row r="70" spans="1:30" x14ac:dyDescent="0.5">
      <c r="B70" s="81" t="s">
        <v>471</v>
      </c>
      <c r="C70" s="81"/>
      <c r="D70" s="81"/>
      <c r="J70" s="87">
        <v>852624827</v>
      </c>
      <c r="K70" s="88" t="s">
        <v>472</v>
      </c>
      <c r="L70" s="87" t="s">
        <v>474</v>
      </c>
      <c r="M70" s="83"/>
      <c r="N70" s="83"/>
      <c r="O70" s="85" t="s">
        <v>473</v>
      </c>
      <c r="P70" s="81"/>
      <c r="Q70" s="81"/>
      <c r="R70" s="81"/>
      <c r="S70" s="83"/>
      <c r="T70" s="83"/>
      <c r="U70" s="83"/>
      <c r="V70" s="83"/>
      <c r="W70" s="83"/>
      <c r="X70" s="83"/>
      <c r="Y70" s="83"/>
      <c r="Z70" s="83"/>
      <c r="AA70" s="83"/>
      <c r="AB70" s="83"/>
      <c r="AC70" s="83"/>
      <c r="AD70" s="83"/>
    </row>
    <row r="71" spans="1:30" x14ac:dyDescent="0.5">
      <c r="B71" s="330"/>
      <c r="C71" s="330"/>
      <c r="D71" s="330"/>
      <c r="E71" s="330"/>
      <c r="F71" s="330"/>
      <c r="G71" s="330"/>
      <c r="H71" s="330"/>
    </row>
    <row r="72" spans="1:30" ht="24.9" customHeight="1" x14ac:dyDescent="0.5">
      <c r="B72" s="330"/>
      <c r="C72" s="330"/>
      <c r="D72" s="330"/>
      <c r="E72" s="330"/>
      <c r="F72" s="330"/>
      <c r="G72" s="330"/>
      <c r="H72" s="330"/>
    </row>
    <row r="73" spans="1:30" ht="25.8" x14ac:dyDescent="0.95">
      <c r="B73" s="330"/>
      <c r="C73" s="330"/>
      <c r="D73" s="330"/>
      <c r="E73" s="330"/>
      <c r="F73" s="330"/>
      <c r="G73" s="314"/>
      <c r="H73" s="310" t="s">
        <v>827</v>
      </c>
      <c r="I73" s="64"/>
      <c r="J73" s="64"/>
      <c r="K73" s="64"/>
      <c r="L73" s="64"/>
      <c r="M73" s="64"/>
      <c r="N73" s="64"/>
      <c r="O73" s="64"/>
      <c r="P73" s="64"/>
      <c r="Q73" s="64"/>
      <c r="R73" s="64"/>
      <c r="S73" s="64"/>
      <c r="T73" s="64"/>
      <c r="U73" s="64"/>
      <c r="V73" s="96"/>
    </row>
    <row r="74" spans="1:30" ht="15.6" x14ac:dyDescent="0.6">
      <c r="B74" s="330"/>
      <c r="C74" s="330"/>
      <c r="D74" s="330"/>
      <c r="E74" s="330"/>
      <c r="F74" s="330"/>
      <c r="G74" s="314"/>
      <c r="H74" s="314"/>
      <c r="I74" s="322" t="s">
        <v>760</v>
      </c>
      <c r="J74" s="96"/>
      <c r="K74" s="64"/>
      <c r="L74" s="64"/>
      <c r="M74" s="64"/>
      <c r="N74" s="64"/>
      <c r="O74" s="64"/>
      <c r="P74" s="64"/>
      <c r="Q74" s="64"/>
      <c r="R74" s="64"/>
      <c r="S74" s="64"/>
      <c r="T74" s="64"/>
      <c r="U74" s="64"/>
      <c r="V74" s="96"/>
    </row>
    <row r="75" spans="1:30" ht="17.7" customHeight="1" x14ac:dyDescent="0.5">
      <c r="B75" s="330"/>
      <c r="C75" s="330"/>
      <c r="D75" s="330"/>
      <c r="E75" s="330"/>
      <c r="F75" s="330"/>
      <c r="G75" s="314"/>
      <c r="H75" s="314"/>
      <c r="I75" s="64"/>
      <c r="J75" s="96"/>
      <c r="K75" s="64"/>
      <c r="L75" s="64"/>
      <c r="M75" s="64"/>
      <c r="N75" s="64"/>
      <c r="O75" s="64"/>
      <c r="P75" s="64"/>
      <c r="Q75" s="64"/>
      <c r="R75" s="64"/>
      <c r="S75" s="64"/>
      <c r="T75" s="64"/>
      <c r="U75" s="64"/>
      <c r="V75" s="96"/>
    </row>
    <row r="76" spans="1:30" x14ac:dyDescent="0.5">
      <c r="A76" s="791"/>
      <c r="G76" s="96"/>
      <c r="H76" s="96"/>
      <c r="I76" s="96"/>
      <c r="J76" s="96"/>
      <c r="K76" s="96"/>
      <c r="L76" s="96"/>
      <c r="M76" s="96"/>
      <c r="N76" s="318"/>
      <c r="O76" s="318"/>
      <c r="P76" s="318"/>
      <c r="Q76" s="318"/>
      <c r="R76" s="318"/>
      <c r="S76" s="318"/>
      <c r="T76" s="318"/>
      <c r="U76" s="318"/>
      <c r="V76" s="318"/>
      <c r="W76" s="71"/>
      <c r="X76" s="71"/>
      <c r="Y76" s="71"/>
      <c r="Z76" s="71"/>
      <c r="AA76" s="71"/>
      <c r="AB76" s="71"/>
      <c r="AC76" s="71"/>
      <c r="AD76" s="71"/>
    </row>
    <row r="78" spans="1:30" s="74" customFormat="1" ht="27.6" customHeight="1" x14ac:dyDescent="0.7">
      <c r="A78" s="786"/>
      <c r="B78" s="75" t="s">
        <v>447</v>
      </c>
      <c r="I78" s="76"/>
      <c r="K78" s="77"/>
      <c r="L78" s="76"/>
    </row>
    <row r="79" spans="1:30" s="96" customFormat="1" ht="19.2" x14ac:dyDescent="0.7">
      <c r="A79" s="787"/>
      <c r="B79" s="80"/>
      <c r="C79" s="80"/>
      <c r="D79" s="80"/>
      <c r="E79" s="80"/>
      <c r="F79" s="80"/>
      <c r="G79" s="80"/>
      <c r="H79" s="95"/>
      <c r="I79" s="80"/>
      <c r="J79" s="80"/>
      <c r="K79" s="80"/>
      <c r="L79" s="80"/>
      <c r="M79" s="80"/>
      <c r="N79" s="80"/>
      <c r="O79" s="80"/>
      <c r="P79" s="80"/>
      <c r="Q79" s="80"/>
      <c r="R79" s="80"/>
      <c r="S79" s="80"/>
      <c r="T79" s="80"/>
      <c r="U79" s="80"/>
      <c r="V79" s="80"/>
      <c r="W79" s="80"/>
      <c r="X79" s="80"/>
      <c r="Y79" s="80"/>
      <c r="Z79" s="80"/>
      <c r="AA79" s="80"/>
      <c r="AB79" s="80"/>
      <c r="AC79" s="80"/>
      <c r="AD79" s="80"/>
    </row>
    <row r="80" spans="1:30" s="96" customFormat="1" ht="38.4" x14ac:dyDescent="1.4">
      <c r="A80" s="788"/>
      <c r="B80" s="104" t="s">
        <v>557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row>
    <row r="81" spans="1:30" s="96" customFormat="1" x14ac:dyDescent="0.5">
      <c r="A81" s="787"/>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row>
    <row r="82" spans="1:30" s="96" customFormat="1" ht="16.8" x14ac:dyDescent="0.65">
      <c r="A82" s="788"/>
      <c r="C82" s="98" t="s">
        <v>448</v>
      </c>
      <c r="L82" s="99" t="s">
        <v>454</v>
      </c>
    </row>
    <row r="83" spans="1:30" s="96" customFormat="1" ht="15.6" x14ac:dyDescent="0.6">
      <c r="A83" s="787"/>
      <c r="C83" s="100" t="s">
        <v>548</v>
      </c>
      <c r="D83" s="101"/>
      <c r="F83" s="101"/>
      <c r="H83" s="102"/>
      <c r="I83" s="955" t="s">
        <v>106</v>
      </c>
      <c r="J83" s="955"/>
      <c r="K83" s="102"/>
      <c r="L83" s="102" t="s">
        <v>477</v>
      </c>
      <c r="M83" s="80"/>
      <c r="N83" s="80"/>
      <c r="O83" s="80"/>
      <c r="P83" s="80"/>
      <c r="Q83" s="80"/>
      <c r="R83" s="80"/>
      <c r="S83" s="80"/>
      <c r="T83" s="80"/>
      <c r="U83" s="103" t="s">
        <v>451</v>
      </c>
      <c r="X83" s="80"/>
      <c r="Y83" s="80"/>
      <c r="Z83" s="80"/>
      <c r="AA83" s="80"/>
      <c r="AB83" s="80"/>
      <c r="AC83" s="80"/>
      <c r="AD83" s="80"/>
    </row>
    <row r="84" spans="1:30" s="96" customFormat="1" ht="15.6" x14ac:dyDescent="0.6">
      <c r="A84" s="787"/>
      <c r="C84" s="100" t="s">
        <v>453</v>
      </c>
      <c r="D84" s="101"/>
      <c r="E84" s="101"/>
      <c r="F84" s="101"/>
      <c r="G84" s="101"/>
      <c r="H84" s="80"/>
      <c r="I84" s="80"/>
      <c r="J84" s="80"/>
      <c r="K84" s="80"/>
      <c r="L84" s="102" t="s">
        <v>614</v>
      </c>
      <c r="M84" s="80"/>
      <c r="N84" s="80"/>
      <c r="O84" s="80"/>
      <c r="P84" s="80"/>
      <c r="Q84" s="80"/>
      <c r="R84" s="80"/>
      <c r="S84" s="80"/>
      <c r="T84" s="80"/>
      <c r="U84" s="80"/>
      <c r="V84" s="80"/>
      <c r="X84" s="80"/>
      <c r="Y84" s="80"/>
      <c r="Z84" s="80"/>
      <c r="AA84" s="80"/>
      <c r="AB84" s="80"/>
      <c r="AC84" s="80"/>
      <c r="AD84" s="80"/>
    </row>
    <row r="85" spans="1:30" s="96" customFormat="1" ht="15.6" x14ac:dyDescent="0.6">
      <c r="A85" s="787"/>
      <c r="C85" s="100" t="s">
        <v>449</v>
      </c>
      <c r="D85" s="101"/>
      <c r="E85" s="101"/>
      <c r="F85" s="101"/>
      <c r="G85" s="101"/>
      <c r="H85" s="80"/>
      <c r="I85" s="80"/>
      <c r="J85" s="80"/>
      <c r="K85" s="80"/>
      <c r="L85" s="103" t="s">
        <v>576</v>
      </c>
      <c r="M85" s="80"/>
      <c r="N85" s="80"/>
      <c r="O85" s="80"/>
      <c r="P85" s="80"/>
      <c r="Q85" s="80"/>
      <c r="R85" s="80"/>
      <c r="S85" s="80"/>
      <c r="T85" s="80"/>
      <c r="U85" s="80"/>
      <c r="V85" s="80"/>
      <c r="W85" s="80"/>
      <c r="X85" s="80"/>
      <c r="Y85" s="80"/>
      <c r="Z85" s="80"/>
      <c r="AA85" s="80"/>
      <c r="AB85" s="80"/>
      <c r="AC85" s="80"/>
      <c r="AD85" s="80"/>
    </row>
    <row r="86" spans="1:30" s="96" customFormat="1" ht="15.6" x14ac:dyDescent="0.6">
      <c r="A86" s="787"/>
      <c r="C86" s="100" t="s">
        <v>450</v>
      </c>
      <c r="D86" s="101"/>
      <c r="E86" s="101"/>
      <c r="F86" s="101"/>
      <c r="G86" s="101"/>
      <c r="H86" s="80"/>
      <c r="J86" s="80"/>
      <c r="K86" s="80"/>
      <c r="L86" s="103" t="s">
        <v>452</v>
      </c>
      <c r="M86" s="80"/>
      <c r="N86" s="80"/>
      <c r="O86" s="80"/>
      <c r="P86" s="80"/>
      <c r="Q86" s="80"/>
      <c r="R86" s="80"/>
      <c r="S86" s="80"/>
      <c r="T86" s="80"/>
      <c r="U86" s="80"/>
      <c r="V86" s="80"/>
      <c r="W86" s="80"/>
      <c r="X86" s="80"/>
      <c r="Y86" s="80"/>
      <c r="Z86" s="80"/>
      <c r="AA86" s="80"/>
      <c r="AB86" s="80"/>
      <c r="AC86" s="80"/>
      <c r="AD86" s="80"/>
    </row>
    <row r="87" spans="1:30" s="96" customFormat="1" ht="15.6" x14ac:dyDescent="0.6">
      <c r="A87" s="787"/>
      <c r="C87" s="100"/>
      <c r="D87" s="101"/>
      <c r="E87" s="101"/>
      <c r="F87" s="101"/>
      <c r="G87" s="101"/>
      <c r="H87" s="80"/>
      <c r="J87" s="80"/>
      <c r="K87" s="80"/>
      <c r="L87" s="103"/>
      <c r="M87" s="80"/>
      <c r="N87" s="80"/>
      <c r="O87" s="80"/>
      <c r="P87" s="80"/>
      <c r="Q87" s="80"/>
      <c r="R87" s="80"/>
      <c r="S87" s="80"/>
      <c r="T87" s="80"/>
      <c r="U87" s="80"/>
      <c r="V87" s="80"/>
      <c r="W87" s="80"/>
      <c r="X87" s="80"/>
      <c r="Y87" s="80"/>
      <c r="Z87" s="80"/>
      <c r="AA87" s="80"/>
      <c r="AB87" s="80"/>
      <c r="AC87" s="80"/>
      <c r="AD87" s="80"/>
    </row>
    <row r="88" spans="1:30" s="96" customFormat="1" ht="15.6" x14ac:dyDescent="0.6">
      <c r="A88" s="787"/>
      <c r="C88" s="100"/>
      <c r="D88" s="101"/>
      <c r="E88" s="101"/>
      <c r="F88" s="101"/>
      <c r="G88" s="101"/>
      <c r="H88" s="80"/>
      <c r="J88" s="80"/>
      <c r="K88" s="80"/>
      <c r="L88" s="103"/>
      <c r="M88" s="80"/>
      <c r="N88" s="80"/>
      <c r="O88" s="80"/>
      <c r="P88" s="80"/>
      <c r="Q88" s="80"/>
      <c r="R88" s="80"/>
      <c r="S88" s="80"/>
      <c r="T88" s="80"/>
      <c r="U88" s="80"/>
      <c r="V88" s="80"/>
      <c r="W88" s="80"/>
      <c r="X88" s="80"/>
      <c r="Y88" s="80"/>
      <c r="Z88" s="80"/>
      <c r="AA88" s="80"/>
      <c r="AB88" s="80"/>
      <c r="AC88" s="80"/>
      <c r="AD88" s="80"/>
    </row>
    <row r="89" spans="1:30" s="90" customFormat="1" ht="6.6" customHeight="1" x14ac:dyDescent="0.6">
      <c r="A89" s="789"/>
      <c r="C89" s="91"/>
      <c r="D89" s="92"/>
      <c r="E89" s="92"/>
      <c r="F89" s="92"/>
      <c r="G89" s="92"/>
      <c r="H89" s="89"/>
      <c r="J89" s="89"/>
      <c r="K89" s="89"/>
      <c r="L89" s="93"/>
      <c r="M89" s="89"/>
      <c r="N89" s="89"/>
      <c r="O89" s="89"/>
      <c r="P89" s="89"/>
      <c r="Q89" s="89"/>
      <c r="R89" s="89"/>
      <c r="S89" s="89"/>
      <c r="T89" s="89"/>
      <c r="U89" s="89"/>
      <c r="V89" s="89"/>
      <c r="W89" s="89"/>
      <c r="X89" s="89"/>
      <c r="Y89" s="89"/>
      <c r="Z89" s="89"/>
      <c r="AA89" s="89"/>
      <c r="AB89" s="89"/>
      <c r="AC89" s="89"/>
      <c r="AD89" s="89"/>
    </row>
    <row r="90" spans="1:30" x14ac:dyDescent="0.5">
      <c r="A90" s="785"/>
      <c r="L90" s="70"/>
      <c r="M90" s="70"/>
      <c r="N90" s="70"/>
      <c r="O90" s="70"/>
      <c r="P90" s="70"/>
      <c r="Q90" s="70"/>
      <c r="R90" s="70"/>
      <c r="S90" s="70"/>
      <c r="T90" s="70"/>
      <c r="U90" s="70"/>
      <c r="V90" s="70"/>
      <c r="W90" s="70"/>
      <c r="X90" s="70"/>
      <c r="Y90" s="70"/>
      <c r="Z90" s="70"/>
      <c r="AA90" s="70"/>
      <c r="AB90" s="70"/>
      <c r="AC90" s="70"/>
      <c r="AD90" s="70"/>
    </row>
    <row r="91" spans="1:30" ht="21.6" customHeight="1" x14ac:dyDescent="0.5">
      <c r="A91" s="785"/>
      <c r="B91" s="70"/>
      <c r="C91" s="70"/>
      <c r="D91" s="70"/>
      <c r="E91" s="70"/>
      <c r="F91" s="70"/>
      <c r="G91" s="70"/>
      <c r="H91" s="70"/>
      <c r="I91" s="70"/>
      <c r="J91" s="70"/>
      <c r="K91" s="70"/>
      <c r="L91" s="70"/>
      <c r="M91" s="70"/>
      <c r="N91" s="70"/>
      <c r="O91" s="950" t="s">
        <v>478</v>
      </c>
      <c r="P91" s="950"/>
      <c r="Q91" s="950"/>
      <c r="R91" s="950"/>
      <c r="S91" s="950"/>
      <c r="T91" s="950"/>
      <c r="U91" s="950"/>
      <c r="V91" s="950"/>
      <c r="W91" s="950"/>
      <c r="X91" s="950"/>
      <c r="Y91" s="70"/>
      <c r="Z91" s="70"/>
      <c r="AA91" s="70"/>
      <c r="AB91" s="70"/>
      <c r="AC91" s="70"/>
      <c r="AD91" s="70"/>
    </row>
    <row r="92" spans="1:30" x14ac:dyDescent="0.5">
      <c r="A92" s="785"/>
      <c r="B92" s="70"/>
      <c r="C92" s="70"/>
      <c r="D92" s="70"/>
      <c r="E92" s="70"/>
      <c r="F92" s="70"/>
      <c r="G92" s="70"/>
      <c r="H92" s="70"/>
      <c r="I92" s="70"/>
      <c r="J92" s="70"/>
      <c r="K92" s="70"/>
      <c r="L92" s="70"/>
      <c r="M92" s="70"/>
      <c r="N92" s="70"/>
      <c r="O92" s="950"/>
      <c r="P92" s="950"/>
      <c r="Q92" s="950"/>
      <c r="R92" s="950"/>
      <c r="S92" s="950"/>
      <c r="T92" s="950"/>
      <c r="U92" s="950"/>
      <c r="V92" s="950"/>
      <c r="W92" s="950"/>
      <c r="X92" s="950"/>
      <c r="Y92" s="70"/>
      <c r="Z92" s="70"/>
      <c r="AA92" s="70"/>
      <c r="AB92" s="70"/>
      <c r="AC92" s="70"/>
      <c r="AD92" s="70"/>
    </row>
    <row r="93" spans="1:30" x14ac:dyDescent="0.5">
      <c r="A93" s="785"/>
      <c r="B93" s="81" t="s">
        <v>456</v>
      </c>
      <c r="C93" s="70"/>
      <c r="D93" s="70"/>
      <c r="E93" s="79" t="s">
        <v>455</v>
      </c>
      <c r="F93" s="70"/>
      <c r="G93" s="70"/>
      <c r="H93" s="70"/>
      <c r="I93" s="70"/>
      <c r="J93" s="70"/>
      <c r="K93" s="70"/>
      <c r="L93" s="70"/>
      <c r="M93" s="70"/>
      <c r="N93" s="70"/>
      <c r="O93" s="950"/>
      <c r="P93" s="950"/>
      <c r="Q93" s="950"/>
      <c r="R93" s="950"/>
      <c r="S93" s="950"/>
      <c r="T93" s="950"/>
      <c r="U93" s="950"/>
      <c r="V93" s="950"/>
      <c r="W93" s="950"/>
      <c r="X93" s="950"/>
      <c r="Y93" s="70"/>
      <c r="Z93" s="70"/>
      <c r="AA93" s="70"/>
      <c r="AB93" s="70"/>
      <c r="AC93" s="70"/>
      <c r="AD93" s="70"/>
    </row>
    <row r="94" spans="1:30" x14ac:dyDescent="0.5">
      <c r="A94" s="785"/>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row>
    <row r="95" spans="1:30" ht="21.6" customHeight="1" x14ac:dyDescent="0.5">
      <c r="A95" s="785"/>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row>
    <row r="96" spans="1:30" x14ac:dyDescent="0.5">
      <c r="A96" s="785"/>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row>
    <row r="97" spans="1:30" x14ac:dyDescent="0.5">
      <c r="A97" s="785"/>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row>
    <row r="98" spans="1:30" x14ac:dyDescent="0.5">
      <c r="A98" s="785"/>
      <c r="B98" s="70"/>
      <c r="C98" s="70"/>
      <c r="D98" s="70"/>
      <c r="E98" s="70"/>
      <c r="F98" s="70"/>
      <c r="G98" s="70"/>
      <c r="H98" s="70"/>
      <c r="I98" s="70"/>
      <c r="P98" s="70"/>
      <c r="Q98" s="70"/>
      <c r="R98" s="70"/>
      <c r="S98" s="70"/>
      <c r="T98" s="70"/>
      <c r="U98" s="70"/>
      <c r="V98" s="70"/>
      <c r="W98" s="70"/>
      <c r="X98" s="70"/>
      <c r="Y98" s="70"/>
      <c r="Z98" s="70"/>
      <c r="AA98" s="70"/>
      <c r="AB98" s="70"/>
      <c r="AC98" s="70"/>
      <c r="AD98" s="70"/>
    </row>
    <row r="99" spans="1:30" x14ac:dyDescent="0.5">
      <c r="A99" s="785"/>
      <c r="B99" s="82" t="s">
        <v>480</v>
      </c>
      <c r="C99" s="70"/>
      <c r="D99" s="70"/>
      <c r="E99" s="70"/>
      <c r="F99" s="70"/>
      <c r="G99" s="70"/>
      <c r="H99" s="70"/>
      <c r="I99" s="70"/>
      <c r="J99" s="82" t="s">
        <v>457</v>
      </c>
      <c r="K99" s="70"/>
      <c r="L99" s="70"/>
      <c r="M99" s="70"/>
      <c r="N99" s="70"/>
      <c r="O99" s="86" t="s">
        <v>454</v>
      </c>
      <c r="P99" s="70"/>
      <c r="Q99" s="70"/>
      <c r="R99" s="70"/>
      <c r="S99" s="70"/>
      <c r="T99" s="70"/>
      <c r="U99" s="70"/>
      <c r="V99" s="70"/>
      <c r="W99" s="70"/>
      <c r="X99" s="70"/>
      <c r="Y99" s="70"/>
      <c r="Z99" s="70"/>
      <c r="AA99" s="70"/>
      <c r="AB99" s="70"/>
      <c r="AC99" s="70"/>
      <c r="AD99" s="70"/>
    </row>
    <row r="100" spans="1:30" x14ac:dyDescent="0.5">
      <c r="B100" s="81" t="s">
        <v>74</v>
      </c>
      <c r="J100" s="62" t="s">
        <v>397</v>
      </c>
    </row>
    <row r="101" spans="1:30" ht="12.9" customHeight="1" x14ac:dyDescent="0.5">
      <c r="B101" s="81" t="s">
        <v>92</v>
      </c>
      <c r="J101" s="62">
        <v>852624517</v>
      </c>
      <c r="O101" s="958" t="s">
        <v>479</v>
      </c>
      <c r="P101" s="958"/>
      <c r="Q101" s="958"/>
      <c r="R101" s="958"/>
      <c r="S101" s="958"/>
      <c r="T101" s="958"/>
      <c r="U101" s="958"/>
      <c r="V101" s="958"/>
      <c r="W101" s="958"/>
      <c r="X101" s="958"/>
    </row>
    <row r="102" spans="1:30" ht="23.1" x14ac:dyDescent="0.85">
      <c r="A102" s="794"/>
      <c r="B102" s="68"/>
      <c r="C102" s="68"/>
      <c r="D102" s="69"/>
      <c r="E102" s="69"/>
      <c r="F102" s="69"/>
      <c r="G102" s="69"/>
      <c r="H102" s="69"/>
      <c r="I102" s="69"/>
      <c r="J102" s="68"/>
      <c r="K102" s="69"/>
      <c r="L102" s="69"/>
      <c r="M102" s="68"/>
      <c r="N102" s="68"/>
      <c r="O102" s="958"/>
      <c r="P102" s="958"/>
      <c r="Q102" s="958"/>
      <c r="R102" s="958"/>
      <c r="S102" s="958"/>
      <c r="T102" s="958"/>
      <c r="U102" s="958"/>
      <c r="V102" s="958"/>
      <c r="W102" s="958"/>
      <c r="X102" s="958"/>
    </row>
    <row r="103" spans="1:30" x14ac:dyDescent="0.5">
      <c r="O103" s="958"/>
      <c r="P103" s="958"/>
      <c r="Q103" s="958"/>
      <c r="R103" s="958"/>
      <c r="S103" s="958"/>
      <c r="T103" s="958"/>
      <c r="U103" s="958"/>
      <c r="V103" s="958"/>
      <c r="W103" s="958"/>
      <c r="X103" s="958"/>
    </row>
    <row r="104" spans="1:30" x14ac:dyDescent="0.5">
      <c r="A104" s="791"/>
      <c r="B104" s="71"/>
      <c r="C104" s="71"/>
      <c r="J104" s="71"/>
      <c r="M104" s="71"/>
      <c r="N104" s="71"/>
      <c r="O104" s="71"/>
      <c r="P104" s="71"/>
      <c r="Q104" s="71"/>
      <c r="R104" s="71"/>
      <c r="S104" s="71"/>
      <c r="T104" s="71"/>
      <c r="U104" s="71"/>
      <c r="V104" s="71"/>
      <c r="W104" s="71"/>
    </row>
    <row r="105" spans="1:30" x14ac:dyDescent="0.5">
      <c r="B105" s="83"/>
      <c r="C105" s="83"/>
      <c r="J105" s="83"/>
      <c r="M105" s="83"/>
      <c r="N105" s="83"/>
      <c r="O105" s="83"/>
      <c r="P105" s="83"/>
      <c r="R105" s="83"/>
      <c r="S105" s="83"/>
      <c r="T105" s="83"/>
      <c r="U105" s="83"/>
      <c r="V105" s="83"/>
      <c r="W105" s="83"/>
    </row>
    <row r="107" spans="1:30" x14ac:dyDescent="0.5">
      <c r="B107" s="82" t="s">
        <v>482</v>
      </c>
      <c r="J107" s="82" t="s">
        <v>457</v>
      </c>
      <c r="O107" s="86" t="s">
        <v>454</v>
      </c>
    </row>
    <row r="108" spans="1:30" x14ac:dyDescent="0.5">
      <c r="A108" s="791"/>
      <c r="B108" s="81" t="s">
        <v>96</v>
      </c>
      <c r="C108" s="83"/>
      <c r="J108" s="81" t="s">
        <v>812</v>
      </c>
      <c r="M108" s="71"/>
      <c r="N108" s="71"/>
      <c r="O108" s="71"/>
      <c r="P108" s="71"/>
      <c r="Q108" s="71"/>
      <c r="R108" s="71"/>
      <c r="S108" s="71"/>
      <c r="T108" s="71"/>
      <c r="U108" s="71"/>
      <c r="V108" s="71"/>
      <c r="W108" s="71"/>
      <c r="X108" s="71"/>
      <c r="Y108" s="71"/>
      <c r="Z108" s="71"/>
      <c r="AA108" s="71"/>
      <c r="AB108" s="71"/>
      <c r="AC108" s="71"/>
      <c r="AD108" s="71"/>
    </row>
    <row r="109" spans="1:30" x14ac:dyDescent="0.5">
      <c r="B109" s="81" t="s">
        <v>97</v>
      </c>
      <c r="J109" s="81" t="s">
        <v>117</v>
      </c>
      <c r="M109" s="83"/>
      <c r="N109" s="83"/>
      <c r="P109" s="83"/>
      <c r="Q109" s="83"/>
      <c r="R109" s="83"/>
      <c r="S109" s="83"/>
      <c r="T109" s="83"/>
      <c r="U109" s="83"/>
      <c r="V109" s="83"/>
      <c r="W109" s="83"/>
    </row>
    <row r="110" spans="1:30" x14ac:dyDescent="0.5">
      <c r="B110" s="81" t="s">
        <v>98</v>
      </c>
      <c r="J110" s="106">
        <v>33348</v>
      </c>
      <c r="X110" s="83"/>
      <c r="Y110" s="83"/>
      <c r="Z110" s="83"/>
      <c r="AA110" s="83"/>
      <c r="AB110" s="83"/>
      <c r="AC110" s="83"/>
      <c r="AD110" s="83"/>
    </row>
    <row r="111" spans="1:30" x14ac:dyDescent="0.5">
      <c r="B111" s="81" t="s">
        <v>99</v>
      </c>
      <c r="J111" s="105">
        <v>543215432</v>
      </c>
      <c r="X111" s="83"/>
      <c r="Y111" s="83"/>
      <c r="Z111" s="83"/>
      <c r="AA111" s="83"/>
      <c r="AB111" s="83"/>
      <c r="AC111" s="83"/>
      <c r="AD111" s="83"/>
    </row>
    <row r="112" spans="1:30" x14ac:dyDescent="0.5">
      <c r="B112" s="81" t="s">
        <v>37</v>
      </c>
      <c r="J112" s="81" t="s">
        <v>212</v>
      </c>
    </row>
    <row r="113" spans="2:30" x14ac:dyDescent="0.5">
      <c r="B113" s="62" t="s">
        <v>481</v>
      </c>
      <c r="J113" s="81" t="s">
        <v>211</v>
      </c>
    </row>
    <row r="114" spans="2:30" x14ac:dyDescent="0.5">
      <c r="B114" s="62"/>
      <c r="J114" s="81"/>
    </row>
    <row r="115" spans="2:30" x14ac:dyDescent="0.5">
      <c r="B115" s="82" t="s">
        <v>483</v>
      </c>
      <c r="J115" s="82" t="s">
        <v>457</v>
      </c>
      <c r="O115" s="86" t="s">
        <v>454</v>
      </c>
    </row>
    <row r="116" spans="2:30" x14ac:dyDescent="0.5">
      <c r="B116" s="62" t="s">
        <v>78</v>
      </c>
      <c r="J116" s="81" t="s">
        <v>80</v>
      </c>
    </row>
    <row r="117" spans="2:30" x14ac:dyDescent="0.5">
      <c r="B117" s="62" t="s">
        <v>81</v>
      </c>
      <c r="J117" s="81" t="s">
        <v>486</v>
      </c>
    </row>
    <row r="118" spans="2:30" x14ac:dyDescent="0.5">
      <c r="B118" s="81" t="s">
        <v>100</v>
      </c>
      <c r="J118" s="105">
        <v>32</v>
      </c>
    </row>
    <row r="119" spans="2:30" x14ac:dyDescent="0.5">
      <c r="B119" s="81" t="s">
        <v>83</v>
      </c>
      <c r="J119" s="81" t="s">
        <v>779</v>
      </c>
    </row>
    <row r="120" spans="2:30" x14ac:dyDescent="0.5">
      <c r="B120" s="81" t="s">
        <v>101</v>
      </c>
      <c r="J120" s="81" t="s">
        <v>204</v>
      </c>
    </row>
    <row r="121" spans="2:30" x14ac:dyDescent="0.5">
      <c r="B121" s="81" t="s">
        <v>102</v>
      </c>
      <c r="J121" s="62" t="s">
        <v>200</v>
      </c>
      <c r="X121" s="83"/>
      <c r="Y121" s="83"/>
      <c r="Z121" s="83"/>
      <c r="AA121" s="83"/>
      <c r="AB121" s="83"/>
      <c r="AC121" s="83"/>
      <c r="AD121" s="83"/>
    </row>
    <row r="123" spans="2:30" x14ac:dyDescent="0.5">
      <c r="B123" s="62" t="s">
        <v>103</v>
      </c>
      <c r="J123" s="62" t="s">
        <v>95</v>
      </c>
    </row>
    <row r="124" spans="2:30" x14ac:dyDescent="0.5">
      <c r="B124" s="94" t="str" cm="1">
        <f t="array" ref="B124">_xlfn.IFS(J123="Nee","",TRUE,"NEEM HET ANDERE CORRESPONDENTIEADRES OP!")</f>
        <v/>
      </c>
    </row>
    <row r="129" spans="1:25" x14ac:dyDescent="0.5">
      <c r="B129" s="82" t="s">
        <v>480</v>
      </c>
      <c r="J129" s="82" t="s">
        <v>457</v>
      </c>
      <c r="O129" s="86" t="s">
        <v>454</v>
      </c>
    </row>
    <row r="130" spans="1:25" x14ac:dyDescent="0.5">
      <c r="B130" s="82"/>
      <c r="J130" s="82"/>
      <c r="O130" s="86"/>
    </row>
    <row r="131" spans="1:25" ht="14.4" x14ac:dyDescent="0.55000000000000004">
      <c r="B131" s="62" t="s">
        <v>104</v>
      </c>
      <c r="J131" s="62" t="s">
        <v>76</v>
      </c>
      <c r="O131" s="129" t="s">
        <v>491</v>
      </c>
    </row>
    <row r="132" spans="1:25" x14ac:dyDescent="0.5">
      <c r="B132" s="94"/>
    </row>
    <row r="133" spans="1:25" x14ac:dyDescent="0.5">
      <c r="B133" s="81" t="s">
        <v>517</v>
      </c>
      <c r="H133" s="67" t="s">
        <v>78</v>
      </c>
      <c r="J133" s="62" t="s">
        <v>80</v>
      </c>
    </row>
    <row r="134" spans="1:25" x14ac:dyDescent="0.5">
      <c r="B134" s="94"/>
      <c r="H134" s="67" t="s">
        <v>101</v>
      </c>
      <c r="J134" s="62" t="s">
        <v>391</v>
      </c>
    </row>
    <row r="135" spans="1:25" x14ac:dyDescent="0.5">
      <c r="B135" s="94"/>
      <c r="H135" s="67" t="s">
        <v>516</v>
      </c>
      <c r="J135" s="111">
        <v>28</v>
      </c>
    </row>
    <row r="136" spans="1:25" x14ac:dyDescent="0.5">
      <c r="B136" s="94"/>
      <c r="H136" s="67" t="s">
        <v>81</v>
      </c>
      <c r="J136" s="62" t="s">
        <v>394</v>
      </c>
    </row>
    <row r="137" spans="1:25" x14ac:dyDescent="0.5">
      <c r="B137" s="94"/>
      <c r="H137" s="67" t="s">
        <v>102</v>
      </c>
      <c r="J137" s="62" t="s">
        <v>199</v>
      </c>
    </row>
    <row r="138" spans="1:25" x14ac:dyDescent="0.5">
      <c r="B138" s="94"/>
    </row>
    <row r="139" spans="1:25" x14ac:dyDescent="0.5">
      <c r="B139" s="62" t="str" cm="1">
        <f t="array" ref="B139">_xlfn.IFS(J131="Nee","",TRUE,"Waar verricht de werknemer zijn werkzaamheden?")</f>
        <v>Waar verricht de werknemer zijn werkzaamheden?</v>
      </c>
      <c r="J139" s="62" t="s">
        <v>793</v>
      </c>
      <c r="O139" s="67" t="s">
        <v>492</v>
      </c>
      <c r="P139" s="67"/>
      <c r="Q139" s="67"/>
      <c r="R139" s="67"/>
      <c r="S139" s="67"/>
      <c r="T139" s="67"/>
      <c r="U139" s="67"/>
      <c r="V139" s="67"/>
      <c r="W139" s="67"/>
      <c r="X139" s="67"/>
      <c r="Y139" s="67"/>
    </row>
    <row r="143" spans="1:25" ht="25.8" x14ac:dyDescent="0.95">
      <c r="I143" s="314"/>
      <c r="J143" s="310" t="s">
        <v>724</v>
      </c>
      <c r="K143" s="64"/>
      <c r="L143" s="64"/>
      <c r="M143" s="64"/>
      <c r="N143" s="64"/>
      <c r="O143" s="64"/>
      <c r="P143" s="64"/>
      <c r="Q143" s="64"/>
      <c r="R143" s="64"/>
      <c r="S143" s="64"/>
      <c r="T143" s="64"/>
      <c r="U143" s="64"/>
      <c r="V143" s="64"/>
      <c r="W143" s="64"/>
    </row>
    <row r="144" spans="1:25" s="138" customFormat="1" ht="38.4" customHeight="1" x14ac:dyDescent="0.55000000000000004">
      <c r="A144" s="795"/>
      <c r="I144" s="319"/>
      <c r="J144" s="319"/>
      <c r="K144" s="63" t="s">
        <v>760</v>
      </c>
      <c r="L144" s="320"/>
      <c r="M144" s="321"/>
      <c r="N144" s="321"/>
      <c r="O144" s="321"/>
      <c r="P144" s="321"/>
      <c r="Q144" s="321"/>
      <c r="R144" s="321"/>
      <c r="S144" s="321"/>
      <c r="T144" s="321"/>
      <c r="U144" s="321"/>
      <c r="V144" s="321"/>
      <c r="W144" s="321"/>
    </row>
    <row r="145" spans="1:30" x14ac:dyDescent="0.5">
      <c r="I145" s="314"/>
      <c r="J145" s="314"/>
      <c r="K145" s="64"/>
      <c r="L145" s="96"/>
      <c r="M145" s="64"/>
      <c r="N145" s="64"/>
      <c r="O145" s="64"/>
      <c r="P145" s="64"/>
      <c r="Q145" s="64"/>
      <c r="R145" s="64"/>
      <c r="S145" s="64"/>
      <c r="T145" s="64"/>
      <c r="U145" s="64"/>
      <c r="V145" s="64"/>
      <c r="W145" s="64"/>
    </row>
    <row r="146" spans="1:30" x14ac:dyDescent="0.5">
      <c r="I146" s="96"/>
      <c r="J146" s="96"/>
      <c r="K146" s="96"/>
      <c r="L146" s="96"/>
      <c r="M146" s="96"/>
      <c r="N146" s="96"/>
      <c r="O146" s="96"/>
      <c r="P146" s="318"/>
      <c r="Q146" s="318"/>
      <c r="R146" s="318"/>
      <c r="S146" s="318"/>
      <c r="T146" s="318"/>
      <c r="U146" s="318"/>
      <c r="V146" s="318"/>
      <c r="W146" s="318"/>
    </row>
    <row r="147" spans="1:30" s="74" customFormat="1" ht="27.6" customHeight="1" x14ac:dyDescent="0.7">
      <c r="A147" s="786"/>
      <c r="B147" s="75" t="s">
        <v>447</v>
      </c>
      <c r="I147" s="76"/>
      <c r="K147" s="77"/>
      <c r="L147" s="76"/>
    </row>
    <row r="148" spans="1:30" s="96" customFormat="1" ht="19.2" x14ac:dyDescent="0.7">
      <c r="A148" s="787"/>
      <c r="B148" s="80"/>
      <c r="C148" s="80"/>
      <c r="D148" s="80"/>
      <c r="E148" s="80"/>
      <c r="F148" s="80"/>
      <c r="G148" s="80"/>
      <c r="H148" s="95"/>
      <c r="I148" s="80"/>
      <c r="J148" s="80"/>
      <c r="K148" s="80"/>
      <c r="L148" s="80"/>
      <c r="M148" s="80"/>
      <c r="N148" s="80"/>
      <c r="O148" s="80"/>
      <c r="P148" s="80"/>
      <c r="Q148" s="80"/>
      <c r="R148" s="80"/>
      <c r="S148" s="80"/>
      <c r="T148" s="80"/>
      <c r="U148" s="80"/>
      <c r="V148" s="80"/>
      <c r="W148" s="80"/>
      <c r="X148" s="80"/>
      <c r="Y148" s="80"/>
      <c r="Z148" s="80"/>
      <c r="AA148" s="80"/>
      <c r="AB148" s="80"/>
      <c r="AC148" s="80"/>
      <c r="AD148" s="80"/>
    </row>
    <row r="149" spans="1:30" s="96" customFormat="1" ht="38.4" x14ac:dyDescent="1.4">
      <c r="A149" s="788"/>
      <c r="B149" s="104" t="s">
        <v>559</v>
      </c>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row>
    <row r="150" spans="1:30" s="96" customFormat="1" x14ac:dyDescent="0.5">
      <c r="A150" s="787"/>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row>
    <row r="151" spans="1:30" s="96" customFormat="1" ht="16.8" x14ac:dyDescent="0.65">
      <c r="A151" s="788"/>
      <c r="C151" s="98" t="s">
        <v>448</v>
      </c>
      <c r="L151" s="99" t="s">
        <v>454</v>
      </c>
    </row>
    <row r="152" spans="1:30" s="96" customFormat="1" ht="15.6" x14ac:dyDescent="0.6">
      <c r="A152" s="787"/>
      <c r="C152" s="100" t="s">
        <v>548</v>
      </c>
      <c r="D152" s="101"/>
      <c r="F152" s="101"/>
      <c r="H152" s="102"/>
      <c r="I152" s="955" t="s">
        <v>107</v>
      </c>
      <c r="J152" s="955"/>
      <c r="K152" s="102"/>
      <c r="L152" s="102" t="s">
        <v>477</v>
      </c>
      <c r="M152" s="80"/>
      <c r="N152" s="80"/>
      <c r="O152" s="80"/>
      <c r="P152" s="80"/>
      <c r="Q152" s="80"/>
      <c r="R152" s="80"/>
      <c r="S152" s="80"/>
      <c r="T152" s="80"/>
      <c r="U152" s="103" t="s">
        <v>451</v>
      </c>
      <c r="X152" s="80"/>
      <c r="Y152" s="80"/>
      <c r="Z152" s="80"/>
      <c r="AA152" s="80"/>
      <c r="AB152" s="80"/>
      <c r="AC152" s="80"/>
      <c r="AD152" s="80"/>
    </row>
    <row r="153" spans="1:30" s="96" customFormat="1" ht="15.6" x14ac:dyDescent="0.6">
      <c r="A153" s="787"/>
      <c r="C153" s="100" t="s">
        <v>453</v>
      </c>
      <c r="D153" s="101"/>
      <c r="E153" s="101"/>
      <c r="F153" s="101"/>
      <c r="G153" s="101"/>
      <c r="H153" s="80"/>
      <c r="I153" s="80"/>
      <c r="J153" s="80"/>
      <c r="K153" s="80"/>
      <c r="L153" s="102" t="s">
        <v>614</v>
      </c>
      <c r="M153" s="80"/>
      <c r="N153" s="80"/>
      <c r="O153" s="80"/>
      <c r="P153" s="80"/>
      <c r="Q153" s="80"/>
      <c r="R153" s="80"/>
      <c r="S153" s="80"/>
      <c r="T153" s="80"/>
      <c r="U153" s="80"/>
      <c r="V153" s="80"/>
      <c r="X153" s="80"/>
      <c r="Y153" s="80"/>
      <c r="Z153" s="80"/>
      <c r="AA153" s="80"/>
      <c r="AB153" s="80"/>
      <c r="AC153" s="80"/>
      <c r="AD153" s="80"/>
    </row>
    <row r="154" spans="1:30" s="96" customFormat="1" ht="15.6" x14ac:dyDescent="0.6">
      <c r="A154" s="787"/>
      <c r="C154" s="100" t="s">
        <v>449</v>
      </c>
      <c r="D154" s="101"/>
      <c r="E154" s="101"/>
      <c r="F154" s="101"/>
      <c r="G154" s="101"/>
      <c r="H154" s="80"/>
      <c r="I154" s="80"/>
      <c r="J154" s="80"/>
      <c r="K154" s="80"/>
      <c r="L154" s="103" t="s">
        <v>576</v>
      </c>
      <c r="M154" s="80"/>
      <c r="N154" s="80"/>
      <c r="O154" s="80"/>
      <c r="P154" s="80"/>
      <c r="Q154" s="80"/>
      <c r="R154" s="80"/>
      <c r="S154" s="80"/>
      <c r="T154" s="80"/>
      <c r="U154" s="80"/>
      <c r="V154" s="80"/>
      <c r="W154" s="80"/>
      <c r="X154" s="80"/>
      <c r="Y154" s="80"/>
      <c r="Z154" s="80"/>
      <c r="AA154" s="80"/>
      <c r="AB154" s="80"/>
      <c r="AC154" s="80"/>
      <c r="AD154" s="80"/>
    </row>
    <row r="155" spans="1:30" s="96" customFormat="1" ht="15.6" x14ac:dyDescent="0.6">
      <c r="A155" s="787"/>
      <c r="C155" s="100" t="s">
        <v>450</v>
      </c>
      <c r="D155" s="101"/>
      <c r="E155" s="101"/>
      <c r="F155" s="101"/>
      <c r="G155" s="101"/>
      <c r="H155" s="80"/>
      <c r="J155" s="80"/>
      <c r="K155" s="80"/>
      <c r="L155" s="103" t="s">
        <v>452</v>
      </c>
      <c r="M155" s="80"/>
      <c r="N155" s="80"/>
      <c r="O155" s="80"/>
      <c r="P155" s="80"/>
      <c r="Q155" s="80"/>
      <c r="R155" s="80"/>
      <c r="S155" s="80"/>
      <c r="T155" s="80"/>
      <c r="U155" s="80"/>
      <c r="V155" s="80"/>
      <c r="W155" s="80"/>
      <c r="X155" s="80"/>
      <c r="Y155" s="80"/>
      <c r="Z155" s="80"/>
      <c r="AA155" s="80"/>
      <c r="AB155" s="80"/>
      <c r="AC155" s="80"/>
      <c r="AD155" s="80"/>
    </row>
    <row r="156" spans="1:30" s="96" customFormat="1" ht="15.6" x14ac:dyDescent="0.6">
      <c r="A156" s="787"/>
      <c r="C156" s="100"/>
      <c r="D156" s="101"/>
      <c r="E156" s="101"/>
      <c r="F156" s="101"/>
      <c r="G156" s="101"/>
      <c r="H156" s="80"/>
      <c r="J156" s="80"/>
      <c r="K156" s="80"/>
      <c r="L156" s="103"/>
      <c r="M156" s="80"/>
      <c r="N156" s="80"/>
      <c r="O156" s="80"/>
      <c r="P156" s="80"/>
      <c r="Q156" s="80"/>
      <c r="R156" s="80"/>
      <c r="S156" s="80"/>
      <c r="T156" s="80"/>
      <c r="U156" s="80"/>
      <c r="V156" s="80"/>
      <c r="W156" s="80"/>
      <c r="X156" s="80"/>
      <c r="Y156" s="80"/>
      <c r="Z156" s="80"/>
      <c r="AA156" s="80"/>
      <c r="AB156" s="80"/>
      <c r="AC156" s="80"/>
      <c r="AD156" s="80"/>
    </row>
    <row r="157" spans="1:30" s="96" customFormat="1" ht="15.6" x14ac:dyDescent="0.6">
      <c r="A157" s="787"/>
      <c r="C157" s="100"/>
      <c r="D157" s="101"/>
      <c r="E157" s="101"/>
      <c r="F157" s="101"/>
      <c r="G157" s="101"/>
      <c r="H157" s="80"/>
      <c r="J157" s="80"/>
      <c r="K157" s="80"/>
      <c r="L157" s="103"/>
      <c r="M157" s="80"/>
      <c r="N157" s="80"/>
      <c r="O157" s="80"/>
      <c r="P157" s="80"/>
      <c r="Q157" s="80"/>
      <c r="R157" s="80"/>
      <c r="S157" s="80"/>
      <c r="T157" s="80"/>
      <c r="U157" s="80"/>
      <c r="V157" s="80"/>
      <c r="W157" s="80"/>
      <c r="X157" s="80"/>
      <c r="Y157" s="80"/>
      <c r="Z157" s="80"/>
      <c r="AA157" s="80"/>
      <c r="AB157" s="80"/>
      <c r="AC157" s="80"/>
      <c r="AD157" s="80"/>
    </row>
    <row r="158" spans="1:30" s="90" customFormat="1" ht="6.6" customHeight="1" x14ac:dyDescent="0.6">
      <c r="A158" s="789"/>
      <c r="C158" s="91"/>
      <c r="D158" s="92"/>
      <c r="E158" s="92"/>
      <c r="F158" s="92"/>
      <c r="G158" s="92"/>
      <c r="H158" s="89"/>
      <c r="J158" s="89"/>
      <c r="K158" s="89"/>
      <c r="L158" s="93"/>
      <c r="M158" s="89"/>
      <c r="N158" s="89"/>
      <c r="O158" s="89"/>
      <c r="P158" s="89"/>
      <c r="Q158" s="89"/>
      <c r="R158" s="89"/>
      <c r="S158" s="89"/>
      <c r="T158" s="89"/>
      <c r="U158" s="89"/>
      <c r="V158" s="89"/>
      <c r="W158" s="89"/>
      <c r="X158" s="89"/>
      <c r="Y158" s="89"/>
      <c r="Z158" s="89"/>
      <c r="AA158" s="89"/>
      <c r="AB158" s="89"/>
      <c r="AC158" s="89"/>
      <c r="AD158" s="89"/>
    </row>
    <row r="159" spans="1:30" x14ac:dyDescent="0.5">
      <c r="A159" s="785"/>
      <c r="L159" s="70"/>
      <c r="M159" s="70"/>
      <c r="N159" s="70"/>
      <c r="O159" s="70"/>
      <c r="P159" s="70"/>
      <c r="Q159" s="70"/>
      <c r="R159" s="70"/>
      <c r="S159" s="70"/>
      <c r="T159" s="70"/>
      <c r="U159" s="70"/>
      <c r="V159" s="70"/>
      <c r="W159" s="70"/>
      <c r="X159" s="70"/>
      <c r="Y159" s="70"/>
      <c r="Z159" s="70"/>
      <c r="AA159" s="70"/>
      <c r="AB159" s="70"/>
      <c r="AC159" s="70"/>
      <c r="AD159" s="70"/>
    </row>
    <row r="160" spans="1:30" x14ac:dyDescent="0.5">
      <c r="A160" s="785"/>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row>
    <row r="161" spans="1:29" x14ac:dyDescent="0.5">
      <c r="A161" s="785"/>
      <c r="L161" s="70"/>
      <c r="M161" s="70"/>
      <c r="N161" s="70"/>
      <c r="O161" s="70"/>
      <c r="P161" s="70"/>
      <c r="Q161" s="70"/>
      <c r="R161" s="70"/>
      <c r="S161" s="70"/>
      <c r="T161" s="70"/>
      <c r="U161" s="70"/>
      <c r="V161" s="70"/>
      <c r="W161" s="70"/>
      <c r="X161" s="70"/>
      <c r="Y161" s="70"/>
      <c r="Z161" s="70"/>
      <c r="AA161" s="70"/>
      <c r="AB161" s="70"/>
      <c r="AC161" s="70"/>
    </row>
    <row r="162" spans="1:29" x14ac:dyDescent="0.5">
      <c r="A162" s="785"/>
      <c r="B162" s="70"/>
      <c r="C162" s="70"/>
      <c r="D162" s="70"/>
      <c r="E162" s="70"/>
      <c r="F162" s="70"/>
      <c r="G162" s="70"/>
      <c r="H162" s="70"/>
      <c r="I162" s="70"/>
      <c r="J162" s="70"/>
      <c r="K162" s="70"/>
      <c r="L162" s="70"/>
      <c r="M162" s="70"/>
      <c r="N162" s="70"/>
      <c r="O162" s="950" t="s">
        <v>478</v>
      </c>
      <c r="P162" s="950"/>
      <c r="Q162" s="950"/>
      <c r="R162" s="950"/>
      <c r="S162" s="950"/>
      <c r="T162" s="950"/>
      <c r="U162" s="950"/>
      <c r="V162" s="950"/>
      <c r="W162" s="950"/>
      <c r="X162" s="950"/>
      <c r="Y162" s="70"/>
      <c r="Z162" s="70"/>
      <c r="AA162" s="70"/>
      <c r="AB162" s="70"/>
      <c r="AC162" s="70"/>
    </row>
    <row r="163" spans="1:29" x14ac:dyDescent="0.5">
      <c r="A163" s="785"/>
      <c r="B163" s="70"/>
      <c r="C163" s="70"/>
      <c r="D163" s="70"/>
      <c r="E163" s="70"/>
      <c r="F163" s="70"/>
      <c r="G163" s="70"/>
      <c r="H163" s="70"/>
      <c r="I163" s="70"/>
      <c r="J163" s="70"/>
      <c r="K163" s="70"/>
      <c r="L163" s="70"/>
      <c r="M163" s="70"/>
      <c r="N163" s="70"/>
      <c r="O163" s="950"/>
      <c r="P163" s="950"/>
      <c r="Q163" s="950"/>
      <c r="R163" s="950"/>
      <c r="S163" s="950"/>
      <c r="T163" s="950"/>
      <c r="U163" s="950"/>
      <c r="V163" s="950"/>
      <c r="W163" s="950"/>
      <c r="X163" s="950"/>
      <c r="Y163" s="70"/>
      <c r="Z163" s="70"/>
      <c r="AA163" s="70"/>
      <c r="AB163" s="70"/>
      <c r="AC163" s="70"/>
    </row>
    <row r="164" spans="1:29" x14ac:dyDescent="0.5">
      <c r="A164" s="785"/>
      <c r="C164" s="70"/>
      <c r="D164" s="70"/>
      <c r="F164" s="70"/>
      <c r="G164" s="70"/>
      <c r="H164" s="70"/>
      <c r="I164" s="70"/>
      <c r="J164" s="70"/>
      <c r="K164" s="70"/>
      <c r="L164" s="70"/>
      <c r="M164" s="70"/>
      <c r="N164" s="70"/>
      <c r="O164" s="950"/>
      <c r="P164" s="950"/>
      <c r="Q164" s="950"/>
      <c r="R164" s="950"/>
      <c r="S164" s="950"/>
      <c r="T164" s="950"/>
      <c r="U164" s="950"/>
      <c r="V164" s="950"/>
      <c r="W164" s="950"/>
      <c r="X164" s="950"/>
      <c r="Y164" s="70"/>
      <c r="Z164" s="70"/>
      <c r="AA164" s="70"/>
      <c r="AB164" s="70"/>
      <c r="AC164" s="70"/>
    </row>
    <row r="165" spans="1:29" x14ac:dyDescent="0.5">
      <c r="A165" s="785"/>
      <c r="B165" s="81"/>
      <c r="C165" s="70"/>
      <c r="D165" s="70"/>
      <c r="E165" s="79"/>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row>
    <row r="166" spans="1:29" x14ac:dyDescent="0.5">
      <c r="A166" s="785"/>
      <c r="B166" s="82" t="s">
        <v>501</v>
      </c>
      <c r="C166" s="70"/>
      <c r="D166" s="70"/>
      <c r="E166" s="70"/>
      <c r="F166" s="70"/>
      <c r="G166" s="70"/>
      <c r="H166" s="70"/>
      <c r="I166" s="70"/>
      <c r="J166" s="82" t="s">
        <v>457</v>
      </c>
      <c r="K166" s="70"/>
      <c r="L166" s="70"/>
      <c r="M166" s="70"/>
      <c r="N166" s="70"/>
      <c r="O166" s="86" t="s">
        <v>454</v>
      </c>
      <c r="P166" s="70"/>
      <c r="Q166" s="70"/>
      <c r="R166" s="70"/>
      <c r="S166" s="70"/>
      <c r="T166" s="70"/>
      <c r="U166" s="70"/>
      <c r="V166" s="70"/>
      <c r="W166" s="70"/>
      <c r="X166" s="70"/>
      <c r="Y166" s="70"/>
      <c r="Z166" s="70"/>
      <c r="AA166" s="70"/>
      <c r="AB166" s="70"/>
      <c r="AC166" s="70"/>
    </row>
    <row r="167" spans="1:29" x14ac:dyDescent="0.5">
      <c r="A167" s="785"/>
      <c r="B167" s="81" t="s">
        <v>498</v>
      </c>
      <c r="C167" s="70"/>
      <c r="D167" s="70"/>
      <c r="E167" s="70"/>
      <c r="F167" s="70"/>
      <c r="G167" s="70"/>
      <c r="H167" s="70"/>
      <c r="I167" s="70"/>
      <c r="J167" s="111" t="s">
        <v>499</v>
      </c>
      <c r="K167" s="70"/>
      <c r="L167" s="70"/>
      <c r="M167" s="70"/>
      <c r="N167" s="70"/>
      <c r="O167" s="85" t="s">
        <v>500</v>
      </c>
      <c r="P167" s="70"/>
      <c r="Q167" s="70"/>
      <c r="R167" s="70"/>
      <c r="S167" s="70"/>
      <c r="T167" s="70"/>
      <c r="U167" s="70"/>
      <c r="V167" s="70"/>
      <c r="W167" s="70"/>
      <c r="X167" s="70"/>
      <c r="Y167" s="70"/>
      <c r="Z167" s="70"/>
      <c r="AA167" s="70"/>
      <c r="AB167" s="70"/>
      <c r="AC167" s="70"/>
    </row>
    <row r="168" spans="1:29" x14ac:dyDescent="0.5">
      <c r="B168" s="81" t="s">
        <v>92</v>
      </c>
      <c r="J168" s="111">
        <v>852624517</v>
      </c>
      <c r="Y168" s="70"/>
      <c r="Z168" s="70"/>
      <c r="AA168" s="70"/>
      <c r="AB168" s="70"/>
      <c r="AC168" s="70"/>
    </row>
    <row r="169" spans="1:29" x14ac:dyDescent="0.5">
      <c r="B169" s="81" t="s">
        <v>74</v>
      </c>
      <c r="J169" s="111" t="s">
        <v>397</v>
      </c>
      <c r="O169" s="959" t="s">
        <v>479</v>
      </c>
      <c r="P169" s="959"/>
      <c r="Q169" s="959"/>
      <c r="R169" s="959"/>
      <c r="S169" s="959"/>
      <c r="T169" s="959"/>
      <c r="U169" s="959"/>
      <c r="V169" s="959"/>
      <c r="W169" s="959"/>
      <c r="X169" s="959"/>
      <c r="Y169" s="70"/>
      <c r="Z169" s="70"/>
      <c r="AA169" s="70"/>
      <c r="AB169" s="70"/>
      <c r="AC169" s="70"/>
    </row>
    <row r="170" spans="1:29" ht="23.1" x14ac:dyDescent="0.85">
      <c r="A170" s="794"/>
      <c r="B170" s="81" t="s">
        <v>456</v>
      </c>
      <c r="J170" s="79" t="s">
        <v>455</v>
      </c>
      <c r="K170" s="69"/>
      <c r="L170" s="69"/>
      <c r="M170" s="68"/>
      <c r="N170" s="68"/>
      <c r="O170" s="959"/>
      <c r="P170" s="959"/>
      <c r="Q170" s="959"/>
      <c r="R170" s="959"/>
      <c r="S170" s="959"/>
      <c r="T170" s="959"/>
      <c r="U170" s="959"/>
      <c r="V170" s="959"/>
      <c r="W170" s="959"/>
      <c r="X170" s="959"/>
      <c r="Y170" s="70"/>
      <c r="Z170" s="70"/>
      <c r="AA170" s="70"/>
      <c r="AB170" s="70"/>
      <c r="AC170" s="70"/>
    </row>
    <row r="171" spans="1:29" ht="23.1" x14ac:dyDescent="0.85">
      <c r="A171" s="794"/>
      <c r="B171" s="81"/>
      <c r="J171" s="79"/>
      <c r="K171" s="69"/>
      <c r="L171" s="69"/>
      <c r="M171" s="68"/>
      <c r="N171" s="68"/>
      <c r="O171" s="959"/>
      <c r="P171" s="959"/>
      <c r="Q171" s="959"/>
      <c r="R171" s="959"/>
      <c r="S171" s="959"/>
      <c r="T171" s="959"/>
      <c r="U171" s="959"/>
      <c r="V171" s="959"/>
      <c r="W171" s="959"/>
      <c r="X171" s="959"/>
      <c r="Y171" s="70"/>
      <c r="Z171" s="70"/>
      <c r="AA171" s="70"/>
      <c r="AB171" s="70"/>
      <c r="AC171" s="70"/>
    </row>
    <row r="172" spans="1:29" x14ac:dyDescent="0.5">
      <c r="O172" s="959"/>
      <c r="P172" s="959"/>
      <c r="Q172" s="959"/>
      <c r="R172" s="959"/>
      <c r="S172" s="959"/>
      <c r="T172" s="959"/>
      <c r="U172" s="959"/>
      <c r="V172" s="959"/>
      <c r="W172" s="959"/>
      <c r="X172" s="959"/>
      <c r="Y172" s="70"/>
      <c r="Z172" s="70"/>
      <c r="AA172" s="70"/>
      <c r="AB172" s="70"/>
      <c r="AC172" s="70"/>
    </row>
    <row r="173" spans="1:29" x14ac:dyDescent="0.5">
      <c r="A173" s="785"/>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row>
    <row r="174" spans="1:29" x14ac:dyDescent="0.5">
      <c r="A174" s="785"/>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row>
    <row r="175" spans="1:29" x14ac:dyDescent="0.5">
      <c r="A175" s="785"/>
      <c r="B175" s="70"/>
      <c r="C175" s="70"/>
      <c r="D175" s="70"/>
      <c r="E175" s="70"/>
      <c r="F175" s="70"/>
      <c r="G175" s="70"/>
      <c r="H175" s="70"/>
      <c r="I175" s="70"/>
      <c r="P175" s="70"/>
      <c r="Q175" s="70"/>
      <c r="R175" s="70"/>
      <c r="S175" s="70"/>
      <c r="T175" s="70"/>
      <c r="U175" s="70"/>
      <c r="V175" s="70"/>
      <c r="W175" s="70"/>
      <c r="X175" s="70"/>
      <c r="Y175" s="70"/>
      <c r="Z175" s="70"/>
      <c r="AA175" s="70"/>
      <c r="AB175" s="70"/>
      <c r="AC175" s="70"/>
    </row>
    <row r="176" spans="1:29" x14ac:dyDescent="0.5">
      <c r="B176" s="82" t="s">
        <v>502</v>
      </c>
      <c r="J176" s="82" t="s">
        <v>457</v>
      </c>
      <c r="O176" s="86" t="s">
        <v>454</v>
      </c>
      <c r="Y176" s="70"/>
      <c r="Z176" s="70"/>
      <c r="AA176" s="70"/>
      <c r="AB176" s="70"/>
      <c r="AC176" s="70"/>
    </row>
    <row r="177" spans="2:29" ht="14.1" customHeight="1" x14ac:dyDescent="0.5">
      <c r="B177" s="61" t="s">
        <v>503</v>
      </c>
      <c r="J177" s="111" t="s">
        <v>504</v>
      </c>
      <c r="O177" s="960"/>
      <c r="P177" s="960"/>
      <c r="Q177" s="960"/>
      <c r="R177" s="960"/>
      <c r="S177" s="960"/>
      <c r="T177" s="960"/>
      <c r="U177" s="960"/>
      <c r="V177" s="960"/>
      <c r="W177" s="960"/>
      <c r="X177" s="960"/>
      <c r="Y177" s="70"/>
      <c r="Z177" s="70"/>
      <c r="AA177" s="70"/>
      <c r="AB177" s="70"/>
      <c r="AC177" s="70"/>
    </row>
    <row r="178" spans="2:29" x14ac:dyDescent="0.5">
      <c r="O178" s="960"/>
      <c r="P178" s="960"/>
      <c r="Q178" s="960"/>
      <c r="R178" s="960"/>
      <c r="S178" s="960"/>
      <c r="T178" s="960"/>
      <c r="U178" s="960"/>
      <c r="V178" s="960"/>
      <c r="W178" s="960"/>
      <c r="X178" s="960"/>
    </row>
    <row r="179" spans="2:29" ht="12.9" customHeight="1" x14ac:dyDescent="0.5">
      <c r="J179" s="62" t="s">
        <v>505</v>
      </c>
      <c r="O179" s="960"/>
      <c r="P179" s="960"/>
      <c r="Q179" s="960"/>
      <c r="R179" s="960"/>
      <c r="S179" s="960"/>
      <c r="T179" s="960"/>
      <c r="U179" s="960"/>
      <c r="V179" s="960"/>
      <c r="W179" s="960"/>
      <c r="X179" s="960"/>
    </row>
    <row r="180" spans="2:29" ht="16.2" customHeight="1" x14ac:dyDescent="0.5">
      <c r="O180" s="960"/>
      <c r="P180" s="960"/>
      <c r="Q180" s="960"/>
      <c r="R180" s="960"/>
      <c r="S180" s="960"/>
      <c r="T180" s="960"/>
      <c r="U180" s="960"/>
      <c r="V180" s="960"/>
      <c r="W180" s="960"/>
      <c r="X180" s="960"/>
    </row>
    <row r="181" spans="2:29" x14ac:dyDescent="0.5">
      <c r="B181" s="83"/>
      <c r="C181" s="83"/>
      <c r="J181" s="83"/>
      <c r="M181" s="83"/>
      <c r="N181" s="109"/>
      <c r="O181" s="107"/>
      <c r="P181" s="107"/>
      <c r="Q181" s="107"/>
      <c r="R181" s="107"/>
      <c r="S181" s="107"/>
      <c r="T181" s="107"/>
      <c r="U181" s="107"/>
      <c r="V181" s="107"/>
      <c r="W181" s="107"/>
      <c r="X181" s="107"/>
      <c r="Y181" s="107"/>
      <c r="Z181" s="110"/>
    </row>
    <row r="182" spans="2:29" x14ac:dyDescent="0.5">
      <c r="B182" s="83"/>
      <c r="C182" s="83"/>
      <c r="J182" s="83"/>
      <c r="M182" s="83"/>
      <c r="N182" s="109"/>
      <c r="O182" s="107"/>
      <c r="P182" s="107"/>
      <c r="Q182" s="107"/>
      <c r="R182" s="107"/>
      <c r="S182" s="107"/>
      <c r="T182" s="107"/>
      <c r="U182" s="107"/>
      <c r="V182" s="107"/>
      <c r="W182" s="107"/>
      <c r="X182" s="107"/>
      <c r="Y182" s="107"/>
      <c r="Z182" s="110"/>
    </row>
    <row r="183" spans="2:29" x14ac:dyDescent="0.5">
      <c r="B183" s="83"/>
      <c r="C183" s="83"/>
      <c r="J183" s="83"/>
      <c r="M183" s="83"/>
      <c r="N183" s="109"/>
      <c r="O183" s="107"/>
      <c r="P183" s="107"/>
      <c r="Q183" s="107"/>
      <c r="R183" s="107"/>
      <c r="S183" s="107"/>
      <c r="T183" s="107"/>
      <c r="U183" s="107"/>
      <c r="V183" s="107"/>
      <c r="W183" s="107"/>
      <c r="X183" s="107"/>
      <c r="Y183" s="107"/>
      <c r="Z183" s="110"/>
    </row>
    <row r="184" spans="2:29" x14ac:dyDescent="0.5">
      <c r="B184" s="82" t="s">
        <v>88</v>
      </c>
      <c r="C184" s="83"/>
      <c r="J184" s="82" t="s">
        <v>457</v>
      </c>
      <c r="O184" s="86" t="s">
        <v>454</v>
      </c>
      <c r="P184" s="107"/>
      <c r="Q184" s="107"/>
      <c r="R184" s="107"/>
      <c r="S184" s="107"/>
      <c r="T184" s="107"/>
      <c r="U184" s="107"/>
      <c r="V184" s="107"/>
      <c r="W184" s="107"/>
      <c r="X184" s="107"/>
      <c r="Y184" s="107"/>
      <c r="Z184" s="110"/>
    </row>
    <row r="185" spans="2:29" x14ac:dyDescent="0.5">
      <c r="B185" s="83"/>
      <c r="C185" s="83"/>
      <c r="J185" s="83"/>
      <c r="M185" s="83"/>
      <c r="N185" s="109"/>
      <c r="O185" s="107"/>
      <c r="P185" s="107"/>
      <c r="Q185" s="107"/>
      <c r="R185" s="107"/>
      <c r="S185" s="107"/>
      <c r="T185" s="107"/>
      <c r="U185" s="107"/>
      <c r="V185" s="107"/>
      <c r="W185" s="107"/>
      <c r="X185" s="107"/>
      <c r="Y185" s="107"/>
      <c r="Z185" s="110"/>
    </row>
    <row r="186" spans="2:29" x14ac:dyDescent="0.5">
      <c r="B186" s="956" t="s">
        <v>506</v>
      </c>
      <c r="C186" s="956"/>
      <c r="D186" s="956"/>
      <c r="E186" s="956"/>
      <c r="F186" s="956"/>
      <c r="G186" s="956"/>
      <c r="H186" s="956"/>
      <c r="J186" s="62" t="s">
        <v>95</v>
      </c>
      <c r="M186" s="83"/>
      <c r="N186" s="109"/>
      <c r="O186" s="957" t="s">
        <v>507</v>
      </c>
      <c r="P186" s="957"/>
      <c r="Q186" s="957"/>
      <c r="R186" s="957"/>
      <c r="S186" s="957"/>
      <c r="T186" s="957"/>
      <c r="U186" s="957"/>
      <c r="V186" s="957"/>
      <c r="W186" s="957"/>
      <c r="X186" s="957"/>
      <c r="Y186" s="957"/>
      <c r="Z186" s="110"/>
    </row>
    <row r="187" spans="2:29" ht="12.9" customHeight="1" x14ac:dyDescent="0.5">
      <c r="B187" s="956"/>
      <c r="C187" s="956"/>
      <c r="D187" s="956"/>
      <c r="E187" s="956"/>
      <c r="F187" s="956"/>
      <c r="G187" s="956"/>
      <c r="H187" s="956"/>
      <c r="J187" s="83"/>
      <c r="M187" s="83"/>
      <c r="N187" s="109"/>
      <c r="O187" s="957"/>
      <c r="P187" s="957"/>
      <c r="Q187" s="957"/>
      <c r="R187" s="957"/>
      <c r="S187" s="957"/>
      <c r="T187" s="957"/>
      <c r="U187" s="957"/>
      <c r="V187" s="957"/>
      <c r="W187" s="957"/>
      <c r="X187" s="957"/>
      <c r="Y187" s="957"/>
      <c r="Z187" s="108"/>
      <c r="AA187" s="108"/>
      <c r="AB187" s="108"/>
      <c r="AC187" s="108"/>
    </row>
    <row r="191" spans="2:29" ht="25.8" x14ac:dyDescent="0.95">
      <c r="I191" s="314"/>
      <c r="J191" s="310" t="s">
        <v>761</v>
      </c>
      <c r="K191" s="64"/>
      <c r="L191" s="64"/>
      <c r="M191" s="64"/>
      <c r="N191" s="64"/>
      <c r="O191" s="64"/>
      <c r="P191" s="64"/>
      <c r="Q191" s="64"/>
      <c r="R191" s="64"/>
      <c r="S191" s="64"/>
      <c r="T191" s="64"/>
      <c r="U191" s="64"/>
      <c r="V191" s="64"/>
      <c r="W191" s="64"/>
    </row>
    <row r="192" spans="2:29" ht="15.6" x14ac:dyDescent="0.5">
      <c r="I192" s="319"/>
      <c r="J192" s="319"/>
      <c r="K192" s="63" t="s">
        <v>760</v>
      </c>
      <c r="L192" s="320"/>
      <c r="M192" s="321"/>
      <c r="N192" s="321"/>
      <c r="O192" s="321"/>
      <c r="P192" s="321"/>
      <c r="Q192" s="321"/>
      <c r="R192" s="321"/>
      <c r="S192" s="321"/>
      <c r="T192" s="321"/>
      <c r="U192" s="321"/>
      <c r="V192" s="321"/>
      <c r="W192" s="321"/>
    </row>
    <row r="193" spans="9:23" x14ac:dyDescent="0.5">
      <c r="I193" s="314"/>
      <c r="J193" s="314"/>
      <c r="K193" s="64"/>
      <c r="L193" s="96"/>
      <c r="M193" s="64"/>
      <c r="N193" s="64"/>
      <c r="O193" s="64"/>
      <c r="P193" s="64"/>
      <c r="Q193" s="64"/>
      <c r="R193" s="64"/>
      <c r="S193" s="64"/>
      <c r="T193" s="64"/>
      <c r="U193" s="64"/>
      <c r="V193" s="64"/>
      <c r="W193" s="64"/>
    </row>
    <row r="194" spans="9:23" x14ac:dyDescent="0.5">
      <c r="I194" s="96"/>
      <c r="J194" s="96"/>
      <c r="K194" s="96"/>
      <c r="L194" s="96"/>
      <c r="M194" s="96"/>
      <c r="N194" s="96"/>
      <c r="O194" s="96"/>
      <c r="P194" s="318"/>
      <c r="Q194" s="318"/>
      <c r="R194" s="318"/>
      <c r="S194" s="318"/>
      <c r="T194" s="318"/>
      <c r="U194" s="318"/>
      <c r="V194" s="318"/>
      <c r="W194" s="318"/>
    </row>
  </sheetData>
  <sheetProtection algorithmName="SHA-512" hashValue="qCdx/O5bPAfpb4g7jPXv6qdwFUkINxrrflHilsXlgu2vjFxwt8gH0TY1IuchCXAmOiJ/GgTQIBFMBv1rqj29sA==" saltValue="8OizD4d4a8Jf++lgMga6Tw==" spinCount="100000" sheet="1" selectLockedCells="1"/>
  <mergeCells count="10">
    <mergeCell ref="I152:J152"/>
    <mergeCell ref="I83:J83"/>
    <mergeCell ref="I17:J17"/>
    <mergeCell ref="B186:H187"/>
    <mergeCell ref="O186:Y187"/>
    <mergeCell ref="O91:X93"/>
    <mergeCell ref="O101:X103"/>
    <mergeCell ref="O162:X164"/>
    <mergeCell ref="O169:X172"/>
    <mergeCell ref="O177:X180"/>
  </mergeCells>
  <hyperlinks>
    <hyperlink ref="I17" r:id="rId1" display="formulier A" xr:uid="{DD273BF3-E0EF-47AF-98DD-51477166D98B}"/>
    <hyperlink ref="I83" r:id="rId2" display="formulier B" xr:uid="{E7816176-CFFD-40C0-B2E3-84A92F52E5C5}"/>
    <hyperlink ref="O131" location="G!A94" display="Naar de pagina met info en invoer over de bedrijfsvestiging" xr:uid="{0D616D41-B7E3-4CFF-ABA1-9B2173142E70}"/>
    <hyperlink ref="I152" r:id="rId3" display="formulier B" xr:uid="{5F9E097D-F8E3-4A6A-AFB6-2EDECB78FA70}"/>
    <hyperlink ref="I152:J152" r:id="rId4" display="formulier B" xr:uid="{4250D585-AFC3-4D0F-8EAA-C623882B2DBB}"/>
  </hyperlinks>
  <pageMargins left="0.7" right="0.7" top="0.75" bottom="0.75" header="0.3" footer="0.3"/>
  <pageSetup paperSize="9" scale="31" fitToHeight="0" orientation="landscape" horizontalDpi="0" verticalDpi="0" r:id="rId5"/>
  <ignoredErrors>
    <ignoredError sqref="J112" numberStoredAsText="1"/>
  </ignoredErrors>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73D54-8769-492A-B13B-45D44279F5EE}">
  <sheetPr codeName="Blad14"/>
  <dimension ref="A1:M50"/>
  <sheetViews>
    <sheetView workbookViewId="0"/>
  </sheetViews>
  <sheetFormatPr defaultRowHeight="14.4" x14ac:dyDescent="0.55000000000000004"/>
  <cols>
    <col min="1" max="1" width="2.89453125" customWidth="1"/>
    <col min="2" max="2" width="10.15625" customWidth="1"/>
    <col min="5" max="5" width="13.1015625" customWidth="1"/>
    <col min="6" max="6" width="7.7890625" customWidth="1"/>
    <col min="7" max="7" width="18.20703125" customWidth="1"/>
    <col min="8" max="8" width="19.734375" customWidth="1"/>
    <col min="9" max="9" width="7.5234375" customWidth="1"/>
    <col min="11" max="11" width="17.68359375" customWidth="1"/>
  </cols>
  <sheetData>
    <row r="1" spans="1:13" x14ac:dyDescent="0.55000000000000004">
      <c r="A1" s="552"/>
    </row>
    <row r="2" spans="1:13" ht="20.399999999999999" x14ac:dyDescent="0.75">
      <c r="B2" s="37" t="s">
        <v>423</v>
      </c>
      <c r="H2" s="37" t="s">
        <v>397</v>
      </c>
    </row>
    <row r="3" spans="1:13" ht="15.6" x14ac:dyDescent="0.6">
      <c r="B3" s="38" t="s">
        <v>424</v>
      </c>
    </row>
    <row r="5" spans="1:13" s="13" customFormat="1" x14ac:dyDescent="0.55000000000000004">
      <c r="B5" s="41" t="s">
        <v>259</v>
      </c>
      <c r="C5" s="42" t="s">
        <v>426</v>
      </c>
      <c r="D5" s="41" t="s">
        <v>425</v>
      </c>
      <c r="E5" s="41" t="s">
        <v>108</v>
      </c>
      <c r="F5" s="41" t="s">
        <v>97</v>
      </c>
      <c r="G5" s="42" t="s">
        <v>88</v>
      </c>
      <c r="H5" s="42" t="s">
        <v>101</v>
      </c>
      <c r="I5" s="41" t="s">
        <v>427</v>
      </c>
      <c r="J5" s="42" t="s">
        <v>81</v>
      </c>
      <c r="K5" s="42" t="s">
        <v>102</v>
      </c>
    </row>
    <row r="6" spans="1:13" x14ac:dyDescent="0.55000000000000004">
      <c r="B6" s="39">
        <v>543215432</v>
      </c>
      <c r="C6" s="39" t="s">
        <v>168</v>
      </c>
      <c r="D6" s="39" t="s">
        <v>779</v>
      </c>
      <c r="E6" s="39" t="s">
        <v>167</v>
      </c>
      <c r="F6" s="39" t="s">
        <v>117</v>
      </c>
      <c r="G6" s="1" t="s">
        <v>123</v>
      </c>
      <c r="H6" s="1" t="s">
        <v>207</v>
      </c>
      <c r="I6" s="39">
        <v>32</v>
      </c>
      <c r="J6" s="39" t="s">
        <v>488</v>
      </c>
      <c r="K6" s="1" t="s">
        <v>203</v>
      </c>
    </row>
    <row r="7" spans="1:13" x14ac:dyDescent="0.55000000000000004">
      <c r="B7" s="39">
        <v>123451234</v>
      </c>
      <c r="C7" s="39" t="s">
        <v>135</v>
      </c>
      <c r="D7" s="39" t="s">
        <v>779</v>
      </c>
      <c r="E7" s="39" t="s">
        <v>166</v>
      </c>
      <c r="F7" s="39" t="s">
        <v>117</v>
      </c>
      <c r="G7" s="1" t="s">
        <v>125</v>
      </c>
      <c r="H7" s="1" t="s">
        <v>206</v>
      </c>
      <c r="I7" s="39">
        <v>388</v>
      </c>
      <c r="J7" s="39" t="s">
        <v>487</v>
      </c>
      <c r="K7" s="1" t="s">
        <v>202</v>
      </c>
    </row>
    <row r="8" spans="1:13" x14ac:dyDescent="0.55000000000000004">
      <c r="B8" s="39">
        <v>123451234</v>
      </c>
      <c r="C8" s="39" t="s">
        <v>156</v>
      </c>
      <c r="D8" s="39" t="s">
        <v>779</v>
      </c>
      <c r="E8" s="39" t="s">
        <v>155</v>
      </c>
      <c r="F8" s="39" t="s">
        <v>117</v>
      </c>
      <c r="G8" s="1" t="s">
        <v>122</v>
      </c>
      <c r="H8" s="1" t="s">
        <v>208</v>
      </c>
      <c r="I8" s="39">
        <v>53</v>
      </c>
      <c r="J8" s="39" t="s">
        <v>484</v>
      </c>
      <c r="K8" s="1" t="s">
        <v>202</v>
      </c>
      <c r="M8" s="300" t="s">
        <v>434</v>
      </c>
    </row>
    <row r="9" spans="1:13" x14ac:dyDescent="0.55000000000000004">
      <c r="B9" s="39">
        <v>543215432</v>
      </c>
      <c r="C9" s="39" t="s">
        <v>145</v>
      </c>
      <c r="D9" s="39" t="s">
        <v>779</v>
      </c>
      <c r="E9" s="39" t="s">
        <v>144</v>
      </c>
      <c r="F9" s="39" t="s">
        <v>117</v>
      </c>
      <c r="G9" s="1" t="s">
        <v>122</v>
      </c>
      <c r="H9" s="1" t="s">
        <v>207</v>
      </c>
      <c r="I9" s="39">
        <v>78</v>
      </c>
      <c r="J9" s="39" t="s">
        <v>488</v>
      </c>
      <c r="K9" s="1" t="s">
        <v>201</v>
      </c>
      <c r="M9" s="300" t="s">
        <v>575</v>
      </c>
    </row>
    <row r="10" spans="1:13" x14ac:dyDescent="0.55000000000000004">
      <c r="B10" s="39">
        <v>543215432</v>
      </c>
      <c r="C10" s="39" t="s">
        <v>789</v>
      </c>
      <c r="D10" s="39" t="s">
        <v>779</v>
      </c>
      <c r="E10" s="39" t="s">
        <v>777</v>
      </c>
      <c r="F10" s="39" t="s">
        <v>117</v>
      </c>
      <c r="G10" s="1" t="s">
        <v>122</v>
      </c>
      <c r="H10" s="1" t="s">
        <v>204</v>
      </c>
      <c r="I10" s="39">
        <v>32</v>
      </c>
      <c r="J10" s="39" t="s">
        <v>486</v>
      </c>
      <c r="K10" s="1" t="s">
        <v>200</v>
      </c>
    </row>
    <row r="11" spans="1:13" x14ac:dyDescent="0.55000000000000004">
      <c r="B11" s="39">
        <v>543215432</v>
      </c>
      <c r="C11" s="39" t="s">
        <v>131</v>
      </c>
      <c r="D11" s="39" t="s">
        <v>779</v>
      </c>
      <c r="E11" s="39" t="s">
        <v>130</v>
      </c>
      <c r="F11" s="39" t="s">
        <v>117</v>
      </c>
      <c r="G11" s="1" t="s">
        <v>121</v>
      </c>
      <c r="H11" s="1" t="s">
        <v>206</v>
      </c>
      <c r="I11" s="39">
        <v>2</v>
      </c>
      <c r="J11" s="39" t="s">
        <v>486</v>
      </c>
      <c r="K11" s="1" t="s">
        <v>200</v>
      </c>
    </row>
    <row r="12" spans="1:13" x14ac:dyDescent="0.55000000000000004">
      <c r="B12" s="39">
        <v>543215432</v>
      </c>
      <c r="C12" s="39" t="s">
        <v>127</v>
      </c>
      <c r="D12" s="39" t="s">
        <v>779</v>
      </c>
      <c r="E12" s="39" t="s">
        <v>126</v>
      </c>
      <c r="F12" s="39" t="s">
        <v>117</v>
      </c>
      <c r="G12" s="1" t="s">
        <v>121</v>
      </c>
      <c r="H12" s="1" t="s">
        <v>205</v>
      </c>
      <c r="I12" s="39">
        <v>2</v>
      </c>
      <c r="J12" s="39" t="s">
        <v>485</v>
      </c>
      <c r="K12" s="1" t="s">
        <v>199</v>
      </c>
    </row>
    <row r="13" spans="1:13" x14ac:dyDescent="0.55000000000000004">
      <c r="B13" s="39" t="s">
        <v>779</v>
      </c>
      <c r="C13" s="39" t="s">
        <v>779</v>
      </c>
      <c r="D13" s="39" t="s">
        <v>779</v>
      </c>
      <c r="E13" s="39" t="s">
        <v>779</v>
      </c>
      <c r="F13" s="39" t="s">
        <v>779</v>
      </c>
      <c r="G13" s="1" t="s">
        <v>779</v>
      </c>
      <c r="H13" s="1" t="s">
        <v>779</v>
      </c>
      <c r="I13" s="39" t="s">
        <v>779</v>
      </c>
      <c r="J13" s="39" t="s">
        <v>779</v>
      </c>
      <c r="K13" s="1" t="s">
        <v>779</v>
      </c>
    </row>
    <row r="14" spans="1:13" x14ac:dyDescent="0.55000000000000004">
      <c r="B14" s="39"/>
      <c r="C14" s="39"/>
      <c r="D14" s="39"/>
      <c r="E14" s="39"/>
      <c r="F14" s="39"/>
      <c r="G14" s="1"/>
      <c r="H14" s="1"/>
      <c r="I14" s="39"/>
      <c r="J14" s="39"/>
      <c r="K14" s="1"/>
    </row>
    <row r="15" spans="1:13" x14ac:dyDescent="0.55000000000000004">
      <c r="B15" s="39"/>
      <c r="C15" s="39"/>
      <c r="D15" s="39"/>
      <c r="E15" s="39"/>
      <c r="F15" s="39"/>
      <c r="G15" s="1"/>
      <c r="H15" s="1"/>
      <c r="I15" s="39"/>
      <c r="J15" s="39"/>
      <c r="K15" s="1"/>
    </row>
    <row r="16" spans="1:13" x14ac:dyDescent="0.55000000000000004">
      <c r="B16" s="39"/>
      <c r="C16" s="39"/>
      <c r="D16" s="39"/>
      <c r="E16" s="39"/>
      <c r="F16" s="39"/>
      <c r="G16" s="1"/>
      <c r="H16" s="1"/>
      <c r="I16" s="39"/>
      <c r="J16" s="39"/>
      <c r="K16" s="1"/>
    </row>
    <row r="17" spans="2:11" x14ac:dyDescent="0.55000000000000004">
      <c r="B17" s="39"/>
      <c r="C17" s="39"/>
      <c r="D17" s="39"/>
      <c r="E17" s="39"/>
      <c r="F17" s="39"/>
      <c r="G17" s="1"/>
      <c r="H17" s="1"/>
      <c r="I17" s="39"/>
      <c r="J17" s="39"/>
      <c r="K17" s="1"/>
    </row>
    <row r="18" spans="2:11" x14ac:dyDescent="0.55000000000000004">
      <c r="B18" s="39"/>
      <c r="C18" s="39"/>
      <c r="D18" s="39"/>
      <c r="E18" s="39"/>
      <c r="F18" s="39"/>
      <c r="G18" s="1"/>
      <c r="H18" s="1"/>
      <c r="I18" s="39"/>
      <c r="J18" s="39"/>
      <c r="K18" s="1"/>
    </row>
    <row r="19" spans="2:11" x14ac:dyDescent="0.55000000000000004">
      <c r="B19" s="39"/>
      <c r="C19" s="39"/>
      <c r="D19" s="39"/>
      <c r="E19" s="39"/>
      <c r="F19" s="39"/>
      <c r="G19" s="1"/>
      <c r="H19" s="1"/>
      <c r="I19" s="39"/>
      <c r="J19" s="39"/>
      <c r="K19" s="1"/>
    </row>
    <row r="20" spans="2:11" x14ac:dyDescent="0.55000000000000004">
      <c r="B20" s="39"/>
      <c r="C20" s="39"/>
      <c r="D20" s="39"/>
      <c r="E20" s="39"/>
      <c r="F20" s="39"/>
      <c r="G20" s="1"/>
      <c r="H20" s="1"/>
      <c r="I20" s="39"/>
      <c r="J20" s="39"/>
      <c r="K20" s="1"/>
    </row>
    <row r="21" spans="2:11" x14ac:dyDescent="0.55000000000000004">
      <c r="B21" s="39"/>
      <c r="C21" s="39"/>
      <c r="D21" s="39"/>
      <c r="E21" s="39"/>
      <c r="F21" s="39"/>
      <c r="G21" s="1"/>
      <c r="H21" s="1"/>
      <c r="I21" s="39"/>
      <c r="J21" s="39"/>
      <c r="K21" s="1"/>
    </row>
    <row r="22" spans="2:11" x14ac:dyDescent="0.55000000000000004">
      <c r="B22" s="39"/>
      <c r="C22" s="39"/>
      <c r="D22" s="39"/>
      <c r="E22" s="39"/>
      <c r="F22" s="39"/>
      <c r="G22" s="1"/>
      <c r="H22" s="1"/>
      <c r="I22" s="39"/>
      <c r="J22" s="39"/>
      <c r="K22" s="1"/>
    </row>
    <row r="23" spans="2:11" x14ac:dyDescent="0.55000000000000004">
      <c r="B23" s="39"/>
      <c r="C23" s="39"/>
      <c r="D23" s="39"/>
      <c r="E23" s="39"/>
      <c r="F23" s="39"/>
      <c r="G23" s="1"/>
      <c r="H23" s="1"/>
      <c r="I23" s="39"/>
      <c r="J23" s="39"/>
      <c r="K23" s="1"/>
    </row>
    <row r="24" spans="2:11" x14ac:dyDescent="0.55000000000000004">
      <c r="B24" s="39"/>
      <c r="C24" s="39"/>
      <c r="D24" s="39"/>
      <c r="E24" s="39"/>
      <c r="F24" s="39"/>
      <c r="G24" s="1"/>
      <c r="H24" s="1"/>
      <c r="I24" s="39"/>
      <c r="J24" s="39"/>
      <c r="K24" s="1"/>
    </row>
    <row r="25" spans="2:11" x14ac:dyDescent="0.55000000000000004">
      <c r="B25" s="39"/>
      <c r="C25" s="39"/>
      <c r="D25" s="39"/>
      <c r="E25" s="39"/>
      <c r="F25" s="39"/>
      <c r="G25" s="1"/>
      <c r="H25" s="1"/>
      <c r="I25" s="39"/>
      <c r="J25" s="39"/>
      <c r="K25" s="1"/>
    </row>
    <row r="26" spans="2:11" x14ac:dyDescent="0.55000000000000004">
      <c r="B26" s="39"/>
      <c r="C26" s="39"/>
      <c r="D26" s="39"/>
      <c r="E26" s="39"/>
      <c r="F26" s="39"/>
      <c r="G26" s="1"/>
      <c r="H26" s="1"/>
      <c r="I26" s="39"/>
      <c r="J26" s="39"/>
      <c r="K26" s="1"/>
    </row>
    <row r="27" spans="2:11" x14ac:dyDescent="0.55000000000000004">
      <c r="B27" s="39"/>
      <c r="C27" s="39"/>
      <c r="D27" s="39"/>
      <c r="E27" s="39"/>
      <c r="F27" s="39"/>
      <c r="G27" s="1"/>
      <c r="H27" s="1"/>
      <c r="I27" s="39"/>
      <c r="J27" s="39"/>
      <c r="K27" s="1"/>
    </row>
    <row r="28" spans="2:11" x14ac:dyDescent="0.55000000000000004">
      <c r="B28" s="39"/>
      <c r="C28" s="39"/>
      <c r="D28" s="39"/>
      <c r="E28" s="39"/>
      <c r="F28" s="39"/>
      <c r="G28" s="1"/>
      <c r="H28" s="1"/>
      <c r="I28" s="39"/>
      <c r="J28" s="39"/>
      <c r="K28" s="1"/>
    </row>
    <row r="29" spans="2:11" x14ac:dyDescent="0.55000000000000004">
      <c r="B29" s="39"/>
      <c r="C29" s="39"/>
      <c r="D29" s="39"/>
      <c r="E29" s="39"/>
      <c r="F29" s="39"/>
      <c r="G29" s="1"/>
      <c r="H29" s="1"/>
      <c r="I29" s="39"/>
      <c r="J29" s="39"/>
      <c r="K29" s="1"/>
    </row>
    <row r="30" spans="2:11" x14ac:dyDescent="0.55000000000000004">
      <c r="B30" s="39"/>
      <c r="C30" s="39"/>
      <c r="D30" s="39"/>
      <c r="E30" s="39"/>
      <c r="F30" s="39"/>
      <c r="G30" s="1"/>
      <c r="H30" s="1"/>
      <c r="I30" s="39"/>
      <c r="J30" s="39"/>
      <c r="K30" s="1"/>
    </row>
    <row r="31" spans="2:11" x14ac:dyDescent="0.55000000000000004">
      <c r="B31" s="39"/>
      <c r="C31" s="39"/>
      <c r="D31" s="39"/>
      <c r="E31" s="39"/>
      <c r="F31" s="39"/>
      <c r="G31" s="1"/>
      <c r="H31" s="1"/>
      <c r="I31" s="39"/>
      <c r="J31" s="39"/>
      <c r="K31" s="1"/>
    </row>
    <row r="32" spans="2:11" x14ac:dyDescent="0.55000000000000004">
      <c r="B32" s="39"/>
      <c r="C32" s="39"/>
      <c r="D32" s="39"/>
      <c r="E32" s="39"/>
      <c r="F32" s="39"/>
      <c r="G32" s="1"/>
      <c r="H32" s="1"/>
      <c r="I32" s="39"/>
      <c r="J32" s="39"/>
      <c r="K32" s="1"/>
    </row>
    <row r="33" spans="2:11" x14ac:dyDescent="0.55000000000000004">
      <c r="B33" s="39"/>
      <c r="C33" s="39"/>
      <c r="D33" s="39"/>
      <c r="E33" s="39"/>
      <c r="F33" s="39"/>
      <c r="G33" s="1"/>
      <c r="H33" s="1"/>
      <c r="I33" s="39"/>
      <c r="J33" s="39"/>
      <c r="K33" s="1"/>
    </row>
    <row r="34" spans="2:11" x14ac:dyDescent="0.55000000000000004">
      <c r="B34" s="39"/>
      <c r="C34" s="39"/>
      <c r="D34" s="39"/>
      <c r="E34" s="39"/>
      <c r="F34" s="39"/>
      <c r="G34" s="1"/>
      <c r="H34" s="1"/>
      <c r="I34" s="39"/>
      <c r="J34" s="39"/>
      <c r="K34" s="1"/>
    </row>
    <row r="35" spans="2:11" x14ac:dyDescent="0.55000000000000004">
      <c r="B35" s="39"/>
      <c r="C35" s="39"/>
      <c r="D35" s="39"/>
      <c r="E35" s="39"/>
      <c r="F35" s="39"/>
      <c r="G35" s="1"/>
      <c r="H35" s="1"/>
      <c r="I35" s="39"/>
      <c r="J35" s="39"/>
      <c r="K35" s="1"/>
    </row>
    <row r="36" spans="2:11" x14ac:dyDescent="0.55000000000000004">
      <c r="B36" s="39"/>
      <c r="C36" s="39"/>
      <c r="D36" s="39"/>
      <c r="E36" s="39"/>
      <c r="F36" s="39"/>
      <c r="G36" s="1"/>
      <c r="H36" s="1"/>
      <c r="I36" s="39"/>
      <c r="J36" s="39"/>
      <c r="K36" s="1"/>
    </row>
    <row r="37" spans="2:11" x14ac:dyDescent="0.55000000000000004">
      <c r="B37" s="39"/>
      <c r="C37" s="39"/>
      <c r="D37" s="39"/>
      <c r="E37" s="39"/>
      <c r="F37" s="39"/>
      <c r="G37" s="1"/>
      <c r="H37" s="1"/>
      <c r="I37" s="39"/>
      <c r="J37" s="39"/>
      <c r="K37" s="1"/>
    </row>
    <row r="38" spans="2:11" x14ac:dyDescent="0.55000000000000004">
      <c r="B38" s="39"/>
      <c r="C38" s="39"/>
      <c r="D38" s="39"/>
      <c r="E38" s="39"/>
      <c r="F38" s="39"/>
      <c r="G38" s="1"/>
      <c r="H38" s="1"/>
      <c r="I38" s="39"/>
      <c r="J38" s="39"/>
      <c r="K38" s="1"/>
    </row>
    <row r="39" spans="2:11" x14ac:dyDescent="0.55000000000000004">
      <c r="B39" s="39"/>
      <c r="C39" s="39"/>
      <c r="D39" s="39"/>
      <c r="E39" s="39"/>
      <c r="F39" s="39"/>
      <c r="G39" s="1"/>
      <c r="H39" s="1"/>
      <c r="I39" s="39"/>
      <c r="J39" s="39"/>
      <c r="K39" s="1"/>
    </row>
    <row r="40" spans="2:11" x14ac:dyDescent="0.55000000000000004">
      <c r="B40" s="39"/>
      <c r="C40" s="39"/>
      <c r="D40" s="39"/>
      <c r="E40" s="39"/>
      <c r="F40" s="39"/>
      <c r="G40" s="1"/>
      <c r="H40" s="1"/>
      <c r="I40" s="39"/>
      <c r="J40" s="39"/>
      <c r="K40" s="1"/>
    </row>
    <row r="41" spans="2:11" x14ac:dyDescent="0.55000000000000004">
      <c r="B41" s="39"/>
      <c r="C41" s="39"/>
      <c r="D41" s="39"/>
      <c r="E41" s="39"/>
      <c r="F41" s="39"/>
      <c r="G41" s="1"/>
      <c r="H41" s="1"/>
      <c r="I41" s="39"/>
      <c r="J41" s="39"/>
      <c r="K41" s="1"/>
    </row>
    <row r="42" spans="2:11" x14ac:dyDescent="0.55000000000000004">
      <c r="B42" s="39"/>
      <c r="C42" s="39"/>
      <c r="D42" s="39"/>
      <c r="E42" s="39"/>
      <c r="F42" s="39"/>
      <c r="G42" s="1"/>
      <c r="H42" s="1"/>
      <c r="I42" s="39"/>
      <c r="J42" s="39"/>
      <c r="K42" s="1"/>
    </row>
    <row r="43" spans="2:11" x14ac:dyDescent="0.55000000000000004">
      <c r="B43" s="39"/>
      <c r="C43" s="39"/>
      <c r="D43" s="39"/>
      <c r="E43" s="39"/>
      <c r="F43" s="39"/>
      <c r="G43" s="1"/>
      <c r="H43" s="1"/>
      <c r="I43" s="39"/>
      <c r="J43" s="39"/>
      <c r="K43" s="1"/>
    </row>
    <row r="44" spans="2:11" x14ac:dyDescent="0.55000000000000004">
      <c r="B44" s="39"/>
      <c r="C44" s="39"/>
      <c r="D44" s="39"/>
      <c r="E44" s="39"/>
      <c r="F44" s="39"/>
      <c r="G44" s="1"/>
      <c r="H44" s="1"/>
      <c r="I44" s="39"/>
      <c r="J44" s="39"/>
      <c r="K44" s="1"/>
    </row>
    <row r="45" spans="2:11" x14ac:dyDescent="0.55000000000000004">
      <c r="B45" s="39"/>
      <c r="C45" s="39"/>
      <c r="D45" s="39"/>
      <c r="E45" s="39"/>
      <c r="F45" s="39"/>
      <c r="G45" s="1"/>
      <c r="H45" s="1"/>
      <c r="I45" s="39"/>
      <c r="J45" s="39"/>
      <c r="K45" s="1"/>
    </row>
    <row r="46" spans="2:11" x14ac:dyDescent="0.55000000000000004">
      <c r="B46" s="39"/>
      <c r="C46" s="39"/>
      <c r="D46" s="39"/>
      <c r="E46" s="39"/>
      <c r="F46" s="39"/>
      <c r="G46" s="1"/>
      <c r="H46" s="1"/>
      <c r="I46" s="39"/>
      <c r="J46" s="39"/>
      <c r="K46" s="1"/>
    </row>
    <row r="47" spans="2:11" x14ac:dyDescent="0.55000000000000004">
      <c r="B47" s="39"/>
      <c r="C47" s="39"/>
      <c r="D47" s="39"/>
      <c r="E47" s="39"/>
      <c r="F47" s="39"/>
      <c r="G47" s="1"/>
      <c r="H47" s="1"/>
      <c r="I47" s="39"/>
      <c r="J47" s="39"/>
      <c r="K47" s="1"/>
    </row>
    <row r="48" spans="2:11" x14ac:dyDescent="0.55000000000000004">
      <c r="B48" s="39"/>
      <c r="C48" s="39"/>
      <c r="D48" s="39"/>
      <c r="E48" s="39"/>
      <c r="F48" s="39"/>
      <c r="G48" s="1"/>
      <c r="H48" s="1"/>
      <c r="I48" s="39"/>
      <c r="J48" s="39"/>
      <c r="K48" s="1"/>
    </row>
    <row r="49" spans="2:11" x14ac:dyDescent="0.55000000000000004">
      <c r="B49" s="39"/>
      <c r="C49" s="39"/>
      <c r="D49" s="39"/>
      <c r="E49" s="39"/>
      <c r="F49" s="39"/>
      <c r="G49" s="1"/>
      <c r="H49" s="1"/>
      <c r="I49" s="39"/>
      <c r="J49" s="40"/>
      <c r="K49" s="1"/>
    </row>
    <row r="50" spans="2:11" x14ac:dyDescent="0.55000000000000004">
      <c r="B50" s="39"/>
      <c r="C50" s="39"/>
      <c r="D50" s="39"/>
      <c r="E50" s="39"/>
      <c r="F50" s="39"/>
      <c r="G50" s="1"/>
      <c r="H50" s="1"/>
      <c r="I50" s="39"/>
      <c r="J50" s="40"/>
      <c r="K50" s="1"/>
    </row>
  </sheetData>
  <sheetProtection algorithmName="SHA-512" hashValue="VUeog9A/9qTSs9dKKTNKt9p23sBdYddwp5wcVHidC+AOsVWonxNdAE1N9zOZukhAMics/7sp6rT8t5vL2jlSIg==" saltValue="mW7UXxFsniMg9OgWrLvgFQ==" spinCount="100000" sheet="1" objects="1" scenarios="1"/>
  <pageMargins left="0.7" right="0.7" top="0.75" bottom="0.75" header="0.3" footer="0.3"/>
  <pageSetup paperSize="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7603-8220-46BF-9259-18D71F21049E}">
  <sheetPr codeName="Blad16"/>
  <dimension ref="B1:K98"/>
  <sheetViews>
    <sheetView zoomScaleNormal="100" workbookViewId="0"/>
  </sheetViews>
  <sheetFormatPr defaultRowHeight="14.4" x14ac:dyDescent="0.55000000000000004"/>
  <cols>
    <col min="1" max="1" width="1.9453125" style="6" customWidth="1"/>
    <col min="2" max="2" width="8.83984375" style="16"/>
    <col min="3" max="3" width="73.41796875" style="6" customWidth="1"/>
    <col min="4" max="16384" width="8.83984375" style="6"/>
  </cols>
  <sheetData>
    <row r="1" spans="2:11" ht="16.8" x14ac:dyDescent="0.55000000000000004">
      <c r="F1" s="17"/>
    </row>
    <row r="2" spans="2:11" ht="16.8" x14ac:dyDescent="0.55000000000000004">
      <c r="C2" s="17" t="s">
        <v>358</v>
      </c>
    </row>
    <row r="3" spans="2:11" ht="16.8" x14ac:dyDescent="0.55000000000000004">
      <c r="C3" s="18" t="s">
        <v>385</v>
      </c>
    </row>
    <row r="4" spans="2:11" ht="15.6" customHeight="1" x14ac:dyDescent="0.55000000000000004">
      <c r="C4" s="19"/>
      <c r="G4" s="20"/>
      <c r="H4" s="20"/>
      <c r="I4" s="20"/>
      <c r="J4" s="20"/>
      <c r="K4" s="20"/>
    </row>
    <row r="5" spans="2:11" ht="15.6" x14ac:dyDescent="0.55000000000000004">
      <c r="C5" s="21"/>
      <c r="G5" s="20"/>
      <c r="H5" s="20"/>
      <c r="I5" s="20"/>
      <c r="J5" s="20"/>
      <c r="K5" s="20"/>
    </row>
    <row r="6" spans="2:11" x14ac:dyDescent="0.55000000000000004">
      <c r="B6" s="22" t="s">
        <v>386</v>
      </c>
      <c r="G6" s="20"/>
      <c r="H6" s="20"/>
      <c r="I6" s="20"/>
      <c r="J6" s="20"/>
      <c r="K6" s="20"/>
    </row>
    <row r="7" spans="2:11" x14ac:dyDescent="0.55000000000000004">
      <c r="C7" s="23"/>
      <c r="G7" s="24"/>
      <c r="H7" s="24"/>
      <c r="I7" s="24"/>
      <c r="J7" s="24"/>
      <c r="K7" s="24"/>
    </row>
    <row r="8" spans="2:11" ht="44.7" customHeight="1" x14ac:dyDescent="0.55000000000000004">
      <c r="B8" s="16" t="s">
        <v>388</v>
      </c>
      <c r="C8" s="25" t="s">
        <v>803</v>
      </c>
      <c r="D8" s="25"/>
      <c r="E8" s="961" t="s">
        <v>720</v>
      </c>
      <c r="F8" s="961"/>
      <c r="G8" s="961"/>
      <c r="H8" s="961"/>
      <c r="I8" s="25"/>
      <c r="J8" s="25"/>
      <c r="K8" s="25"/>
    </row>
    <row r="9" spans="2:11" x14ac:dyDescent="0.55000000000000004">
      <c r="C9" s="23"/>
      <c r="E9" s="961"/>
      <c r="F9" s="961"/>
      <c r="G9" s="961"/>
      <c r="H9" s="961"/>
      <c r="I9" s="20"/>
      <c r="J9" s="20"/>
      <c r="K9" s="20"/>
    </row>
    <row r="10" spans="2:11" ht="43.8" customHeight="1" x14ac:dyDescent="0.55000000000000004">
      <c r="B10" s="16" t="s">
        <v>131</v>
      </c>
      <c r="C10" s="26" t="s">
        <v>814</v>
      </c>
      <c r="D10" s="25"/>
      <c r="E10" s="25"/>
      <c r="F10" s="25"/>
      <c r="G10" s="25"/>
      <c r="H10" s="25"/>
      <c r="I10" s="25"/>
      <c r="J10" s="25"/>
      <c r="K10" s="25"/>
    </row>
    <row r="11" spans="2:11" ht="15.6" customHeight="1" x14ac:dyDescent="0.55000000000000004">
      <c r="B11" s="27" t="s">
        <v>387</v>
      </c>
      <c r="G11" s="20"/>
      <c r="H11" s="20"/>
      <c r="I11" s="20"/>
      <c r="J11" s="20"/>
      <c r="K11" s="20"/>
    </row>
    <row r="12" spans="2:11" ht="15.6" x14ac:dyDescent="0.55000000000000004">
      <c r="C12" s="28" t="s">
        <v>196</v>
      </c>
      <c r="G12" s="20"/>
      <c r="H12" s="20"/>
      <c r="I12" s="20"/>
      <c r="J12" s="20"/>
      <c r="K12" s="20"/>
    </row>
    <row r="13" spans="2:11" ht="57" customHeight="1" x14ac:dyDescent="0.55000000000000004">
      <c r="B13" s="16" t="s">
        <v>389</v>
      </c>
      <c r="C13" s="29" t="s">
        <v>819</v>
      </c>
      <c r="G13" s="20"/>
      <c r="H13" s="20"/>
      <c r="I13" s="20"/>
      <c r="J13" s="20"/>
      <c r="K13" s="20"/>
    </row>
    <row r="14" spans="2:11" x14ac:dyDescent="0.55000000000000004">
      <c r="C14" s="20"/>
      <c r="D14" s="20"/>
      <c r="E14" s="20"/>
      <c r="F14" s="20"/>
      <c r="G14" s="20"/>
      <c r="H14" s="20"/>
      <c r="I14" s="20"/>
      <c r="J14" s="20"/>
      <c r="K14" s="20"/>
    </row>
    <row r="15" spans="2:11" ht="23.1" x14ac:dyDescent="0.85">
      <c r="C15" s="36" t="s">
        <v>725</v>
      </c>
      <c r="D15" s="20"/>
      <c r="E15" s="20"/>
      <c r="F15" s="20"/>
      <c r="G15" s="20"/>
      <c r="H15" s="20"/>
      <c r="I15" s="20"/>
      <c r="J15" s="20"/>
      <c r="K15" s="20"/>
    </row>
    <row r="16" spans="2:11" x14ac:dyDescent="0.55000000000000004">
      <c r="C16" s="20"/>
      <c r="D16" s="20"/>
      <c r="E16" s="20"/>
      <c r="F16" s="20"/>
      <c r="G16" s="20"/>
      <c r="H16" s="20"/>
      <c r="I16" s="20"/>
      <c r="J16" s="20"/>
      <c r="K16" s="20"/>
    </row>
    <row r="17" spans="3:11" x14ac:dyDescent="0.55000000000000004">
      <c r="C17" s="20"/>
      <c r="D17" s="20"/>
      <c r="E17" s="20"/>
      <c r="F17" s="20"/>
      <c r="G17" s="20"/>
      <c r="H17" s="20"/>
      <c r="I17" s="20"/>
      <c r="J17" s="20"/>
      <c r="K17" s="20"/>
    </row>
    <row r="18" spans="3:11" x14ac:dyDescent="0.55000000000000004">
      <c r="C18" s="20"/>
      <c r="D18" s="20"/>
      <c r="E18" s="20"/>
      <c r="F18" s="20"/>
      <c r="G18" s="20"/>
      <c r="H18" s="20"/>
      <c r="I18" s="20"/>
      <c r="J18" s="20"/>
      <c r="K18" s="20"/>
    </row>
    <row r="19" spans="3:11" x14ac:dyDescent="0.55000000000000004">
      <c r="C19" s="20"/>
      <c r="D19" s="20"/>
      <c r="E19" s="20"/>
      <c r="F19" s="20"/>
      <c r="G19" s="20"/>
      <c r="H19" s="20"/>
      <c r="I19" s="20"/>
      <c r="J19" s="20"/>
      <c r="K19" s="20"/>
    </row>
    <row r="20" spans="3:11" x14ac:dyDescent="0.55000000000000004">
      <c r="C20" s="20"/>
      <c r="D20" s="20"/>
      <c r="E20" s="20"/>
      <c r="F20" s="20"/>
      <c r="G20" s="20"/>
      <c r="H20" s="20"/>
      <c r="I20" s="20"/>
      <c r="J20" s="20"/>
      <c r="K20" s="20"/>
    </row>
    <row r="21" spans="3:11" x14ac:dyDescent="0.55000000000000004">
      <c r="C21" s="20"/>
      <c r="D21" s="20"/>
      <c r="E21" s="20"/>
      <c r="F21" s="20"/>
      <c r="G21" s="20"/>
      <c r="H21" s="20"/>
      <c r="I21" s="20"/>
      <c r="J21" s="20"/>
      <c r="K21" s="20"/>
    </row>
    <row r="22" spans="3:11" x14ac:dyDescent="0.55000000000000004">
      <c r="C22" s="20"/>
      <c r="D22" s="20"/>
      <c r="E22" s="20"/>
      <c r="F22" s="20"/>
      <c r="G22" s="20"/>
      <c r="H22" s="20"/>
      <c r="I22" s="20"/>
      <c r="J22" s="20"/>
      <c r="K22" s="20"/>
    </row>
    <row r="23" spans="3:11" x14ac:dyDescent="0.55000000000000004">
      <c r="C23" s="20"/>
      <c r="D23" s="20"/>
      <c r="E23" s="20"/>
      <c r="F23" s="20"/>
      <c r="G23" s="20"/>
      <c r="H23" s="20"/>
      <c r="I23" s="20"/>
      <c r="J23" s="20"/>
      <c r="K23" s="20"/>
    </row>
    <row r="24" spans="3:11" x14ac:dyDescent="0.55000000000000004">
      <c r="C24" s="20"/>
      <c r="D24" s="20"/>
      <c r="E24" s="20"/>
      <c r="F24" s="20"/>
      <c r="G24" s="20"/>
      <c r="H24" s="20"/>
      <c r="I24" s="20"/>
      <c r="J24" s="20"/>
      <c r="K24" s="20"/>
    </row>
    <row r="25" spans="3:11" x14ac:dyDescent="0.55000000000000004">
      <c r="C25" s="20"/>
      <c r="D25" s="20"/>
      <c r="E25" s="20"/>
      <c r="F25" s="20"/>
      <c r="G25" s="20"/>
      <c r="H25" s="20"/>
      <c r="I25" s="20"/>
      <c r="J25" s="20"/>
      <c r="K25" s="20"/>
    </row>
    <row r="26" spans="3:11" x14ac:dyDescent="0.55000000000000004">
      <c r="C26" s="20"/>
      <c r="D26" s="20"/>
      <c r="E26" s="20"/>
      <c r="F26" s="20"/>
      <c r="G26" s="20"/>
      <c r="H26" s="20"/>
      <c r="I26" s="20"/>
      <c r="J26" s="20"/>
      <c r="K26" s="20"/>
    </row>
    <row r="27" spans="3:11" x14ac:dyDescent="0.55000000000000004">
      <c r="C27" s="20"/>
      <c r="D27" s="20"/>
      <c r="E27" s="20"/>
      <c r="F27" s="20"/>
      <c r="G27" s="20"/>
      <c r="H27" s="20"/>
      <c r="I27" s="20"/>
      <c r="J27" s="20"/>
      <c r="K27" s="20"/>
    </row>
    <row r="28" spans="3:11" x14ac:dyDescent="0.55000000000000004">
      <c r="C28" s="20"/>
      <c r="D28" s="20"/>
      <c r="E28" s="20"/>
      <c r="F28" s="20"/>
      <c r="G28" s="20"/>
      <c r="H28" s="20"/>
      <c r="I28" s="20"/>
      <c r="J28" s="20"/>
      <c r="K28" s="20"/>
    </row>
    <row r="29" spans="3:11" x14ac:dyDescent="0.55000000000000004">
      <c r="C29" s="20"/>
      <c r="D29" s="20"/>
      <c r="E29" s="20"/>
      <c r="F29" s="20"/>
      <c r="G29" s="20"/>
      <c r="H29" s="20"/>
      <c r="I29" s="20"/>
      <c r="J29" s="20"/>
      <c r="K29" s="20"/>
    </row>
    <row r="30" spans="3:11" x14ac:dyDescent="0.55000000000000004">
      <c r="C30" s="20"/>
      <c r="D30" s="20"/>
      <c r="E30" s="20"/>
      <c r="F30" s="20"/>
      <c r="G30" s="20"/>
      <c r="H30" s="20"/>
      <c r="I30" s="20"/>
      <c r="J30" s="20"/>
      <c r="K30" s="20"/>
    </row>
    <row r="31" spans="3:11" x14ac:dyDescent="0.55000000000000004">
      <c r="C31" s="20"/>
      <c r="D31" s="20"/>
      <c r="E31" s="20"/>
      <c r="F31" s="20"/>
      <c r="G31" s="20"/>
      <c r="H31" s="20"/>
      <c r="I31" s="20"/>
      <c r="J31" s="20"/>
      <c r="K31" s="20"/>
    </row>
    <row r="32" spans="3:11" x14ac:dyDescent="0.55000000000000004">
      <c r="C32" s="20"/>
      <c r="D32" s="20"/>
      <c r="E32" s="20"/>
      <c r="F32" s="20"/>
      <c r="G32" s="20"/>
      <c r="H32" s="20"/>
      <c r="I32" s="20"/>
      <c r="J32" s="20"/>
      <c r="K32" s="20"/>
    </row>
    <row r="33" spans="3:11" x14ac:dyDescent="0.55000000000000004">
      <c r="C33" s="20"/>
      <c r="D33" s="20"/>
      <c r="E33" s="20"/>
      <c r="F33" s="20"/>
      <c r="G33" s="20"/>
      <c r="H33" s="20"/>
      <c r="I33" s="20"/>
      <c r="J33" s="20"/>
      <c r="K33" s="20"/>
    </row>
    <row r="34" spans="3:11" x14ac:dyDescent="0.55000000000000004">
      <c r="C34" s="20"/>
      <c r="D34" s="20"/>
      <c r="E34" s="20"/>
      <c r="F34" s="20"/>
      <c r="G34" s="20"/>
      <c r="H34" s="20"/>
      <c r="I34" s="20"/>
      <c r="J34" s="20"/>
      <c r="K34" s="20"/>
    </row>
    <row r="35" spans="3:11" x14ac:dyDescent="0.55000000000000004">
      <c r="C35" s="20"/>
      <c r="D35" s="20"/>
      <c r="E35" s="20"/>
      <c r="F35" s="20"/>
      <c r="G35" s="20"/>
      <c r="H35" s="20"/>
      <c r="I35" s="20"/>
      <c r="J35" s="20"/>
      <c r="K35" s="20"/>
    </row>
    <row r="36" spans="3:11" x14ac:dyDescent="0.55000000000000004">
      <c r="C36" s="20"/>
      <c r="D36" s="20"/>
      <c r="E36" s="20"/>
      <c r="F36" s="20"/>
      <c r="G36" s="20"/>
      <c r="H36" s="20"/>
      <c r="I36" s="20"/>
      <c r="J36" s="20"/>
      <c r="K36" s="20"/>
    </row>
    <row r="37" spans="3:11" x14ac:dyDescent="0.55000000000000004">
      <c r="C37" s="20"/>
      <c r="D37" s="20"/>
      <c r="E37" s="20"/>
      <c r="F37" s="20"/>
      <c r="G37" s="20"/>
      <c r="H37" s="20"/>
      <c r="I37" s="20"/>
      <c r="J37" s="20"/>
      <c r="K37" s="20"/>
    </row>
    <row r="38" spans="3:11" x14ac:dyDescent="0.55000000000000004">
      <c r="C38" s="20"/>
      <c r="D38" s="20"/>
      <c r="E38" s="20"/>
      <c r="F38" s="20"/>
      <c r="G38" s="20"/>
      <c r="H38" s="20"/>
      <c r="I38" s="20"/>
      <c r="J38" s="20"/>
      <c r="K38" s="20"/>
    </row>
    <row r="39" spans="3:11" x14ac:dyDescent="0.55000000000000004">
      <c r="C39" s="20"/>
      <c r="D39" s="20"/>
      <c r="E39" s="20"/>
      <c r="F39" s="20"/>
      <c r="G39" s="20"/>
      <c r="H39" s="20"/>
      <c r="I39" s="20"/>
      <c r="J39" s="20"/>
      <c r="K39" s="20"/>
    </row>
    <row r="40" spans="3:11" x14ac:dyDescent="0.55000000000000004">
      <c r="C40" s="20"/>
      <c r="D40" s="20"/>
      <c r="E40" s="20"/>
      <c r="F40" s="20"/>
      <c r="G40" s="20"/>
      <c r="H40" s="20"/>
      <c r="I40" s="20"/>
      <c r="J40" s="20"/>
      <c r="K40" s="20"/>
    </row>
    <row r="41" spans="3:11" x14ac:dyDescent="0.55000000000000004">
      <c r="C41" s="20"/>
      <c r="D41" s="20"/>
      <c r="E41" s="20"/>
      <c r="F41" s="20"/>
      <c r="G41" s="20"/>
      <c r="H41" s="20"/>
      <c r="I41" s="20"/>
      <c r="J41" s="20"/>
      <c r="K41" s="20"/>
    </row>
    <row r="42" spans="3:11" x14ac:dyDescent="0.55000000000000004">
      <c r="C42" s="20"/>
      <c r="D42" s="20"/>
      <c r="E42" s="20"/>
      <c r="F42" s="20"/>
      <c r="G42" s="20"/>
      <c r="H42" s="20"/>
      <c r="I42" s="20"/>
      <c r="J42" s="20"/>
      <c r="K42" s="20"/>
    </row>
    <row r="43" spans="3:11" x14ac:dyDescent="0.55000000000000004">
      <c r="C43" s="20"/>
      <c r="D43" s="20"/>
      <c r="E43" s="20"/>
      <c r="F43" s="20"/>
      <c r="G43" s="20"/>
      <c r="H43" s="20"/>
      <c r="I43" s="20"/>
      <c r="J43" s="20"/>
      <c r="K43" s="20"/>
    </row>
    <row r="44" spans="3:11" x14ac:dyDescent="0.55000000000000004">
      <c r="C44" s="20"/>
      <c r="D44" s="20"/>
      <c r="E44" s="20"/>
      <c r="F44" s="20"/>
      <c r="G44" s="20"/>
      <c r="H44" s="20"/>
      <c r="I44" s="20"/>
      <c r="J44" s="20"/>
      <c r="K44" s="20"/>
    </row>
    <row r="45" spans="3:11" x14ac:dyDescent="0.55000000000000004">
      <c r="C45" s="20"/>
      <c r="D45" s="20"/>
      <c r="E45" s="20"/>
      <c r="F45" s="20"/>
      <c r="G45" s="20"/>
      <c r="H45" s="20"/>
      <c r="I45" s="20"/>
      <c r="J45" s="20"/>
      <c r="K45" s="20"/>
    </row>
    <row r="46" spans="3:11" x14ac:dyDescent="0.55000000000000004">
      <c r="C46" s="20"/>
      <c r="D46" s="20"/>
      <c r="E46" s="20"/>
      <c r="F46" s="20"/>
      <c r="G46" s="20"/>
      <c r="H46" s="20"/>
      <c r="I46" s="20"/>
      <c r="J46" s="20"/>
      <c r="K46" s="20"/>
    </row>
    <row r="47" spans="3:11" x14ac:dyDescent="0.55000000000000004">
      <c r="C47" s="20"/>
      <c r="D47" s="20"/>
      <c r="E47" s="20"/>
      <c r="F47" s="20"/>
      <c r="G47" s="20"/>
      <c r="H47" s="20"/>
      <c r="I47" s="20"/>
      <c r="J47" s="20"/>
      <c r="K47" s="20"/>
    </row>
    <row r="48" spans="3:11" x14ac:dyDescent="0.55000000000000004">
      <c r="C48" s="20"/>
      <c r="D48" s="20"/>
      <c r="E48" s="20"/>
      <c r="F48" s="20"/>
      <c r="G48" s="20"/>
      <c r="H48" s="20"/>
      <c r="I48" s="20"/>
      <c r="J48" s="20"/>
      <c r="K48" s="20"/>
    </row>
    <row r="49" spans="3:11" x14ac:dyDescent="0.55000000000000004">
      <c r="C49" s="20"/>
      <c r="D49" s="20"/>
      <c r="E49" s="20"/>
      <c r="F49" s="20"/>
      <c r="G49" s="20"/>
      <c r="H49" s="20"/>
      <c r="I49" s="20"/>
      <c r="J49" s="20"/>
      <c r="K49" s="20"/>
    </row>
    <row r="50" spans="3:11" x14ac:dyDescent="0.55000000000000004">
      <c r="C50" s="20"/>
      <c r="D50" s="20"/>
      <c r="E50" s="20"/>
      <c r="F50" s="20"/>
      <c r="G50" s="20"/>
      <c r="H50" s="20"/>
      <c r="I50" s="20"/>
      <c r="J50" s="20"/>
      <c r="K50" s="20"/>
    </row>
    <row r="51" spans="3:11" x14ac:dyDescent="0.55000000000000004">
      <c r="C51" s="20"/>
      <c r="D51" s="20"/>
      <c r="E51" s="20"/>
      <c r="F51" s="20"/>
      <c r="G51" s="20"/>
      <c r="H51" s="20"/>
      <c r="I51" s="20"/>
      <c r="J51" s="20"/>
      <c r="K51" s="20"/>
    </row>
    <row r="52" spans="3:11" x14ac:dyDescent="0.55000000000000004">
      <c r="C52" s="20"/>
      <c r="D52" s="20"/>
      <c r="E52" s="20"/>
      <c r="F52" s="20"/>
      <c r="G52" s="20"/>
      <c r="H52" s="20"/>
      <c r="I52" s="20"/>
      <c r="J52" s="20"/>
      <c r="K52" s="20"/>
    </row>
    <row r="53" spans="3:11" x14ac:dyDescent="0.55000000000000004">
      <c r="C53" s="20"/>
      <c r="D53" s="20"/>
      <c r="E53" s="20"/>
      <c r="F53" s="20"/>
      <c r="G53" s="20"/>
      <c r="H53" s="20"/>
      <c r="I53" s="20"/>
      <c r="J53" s="20"/>
      <c r="K53" s="20"/>
    </row>
    <row r="54" spans="3:11" x14ac:dyDescent="0.55000000000000004">
      <c r="C54" s="20"/>
      <c r="D54" s="20"/>
      <c r="E54" s="20"/>
      <c r="F54" s="20"/>
      <c r="G54" s="20"/>
      <c r="H54" s="20"/>
      <c r="I54" s="20"/>
      <c r="J54" s="20"/>
      <c r="K54" s="20"/>
    </row>
    <row r="55" spans="3:11" x14ac:dyDescent="0.55000000000000004">
      <c r="C55" s="20"/>
      <c r="D55" s="20"/>
      <c r="E55" s="20"/>
      <c r="F55" s="20"/>
      <c r="G55" s="20"/>
      <c r="H55" s="20"/>
      <c r="I55" s="20"/>
      <c r="J55" s="20"/>
      <c r="K55" s="20"/>
    </row>
    <row r="56" spans="3:11" x14ac:dyDescent="0.55000000000000004">
      <c r="C56" s="20"/>
      <c r="D56" s="20"/>
      <c r="E56" s="20"/>
      <c r="F56" s="20"/>
      <c r="G56" s="20"/>
      <c r="H56" s="20"/>
      <c r="I56" s="20"/>
      <c r="J56" s="20"/>
      <c r="K56" s="20"/>
    </row>
    <row r="57" spans="3:11" x14ac:dyDescent="0.55000000000000004">
      <c r="C57" s="20"/>
      <c r="D57" s="20"/>
      <c r="E57" s="20"/>
      <c r="F57" s="20"/>
      <c r="G57" s="20"/>
      <c r="H57" s="20"/>
      <c r="I57" s="20"/>
      <c r="J57" s="20"/>
      <c r="K57" s="20"/>
    </row>
    <row r="58" spans="3:11" x14ac:dyDescent="0.55000000000000004">
      <c r="C58" s="20"/>
      <c r="D58" s="20"/>
      <c r="E58" s="20"/>
      <c r="F58" s="20"/>
      <c r="G58" s="20"/>
      <c r="H58" s="20"/>
      <c r="I58" s="20"/>
      <c r="J58" s="20"/>
      <c r="K58" s="20"/>
    </row>
    <row r="59" spans="3:11" x14ac:dyDescent="0.55000000000000004">
      <c r="C59" s="20"/>
      <c r="D59" s="20"/>
      <c r="E59" s="20"/>
      <c r="F59" s="20"/>
      <c r="G59" s="20"/>
      <c r="H59" s="20"/>
      <c r="I59" s="20"/>
      <c r="J59" s="20"/>
      <c r="K59" s="20"/>
    </row>
    <row r="60" spans="3:11" x14ac:dyDescent="0.55000000000000004">
      <c r="C60" s="20"/>
      <c r="D60" s="20"/>
      <c r="E60" s="20"/>
      <c r="F60" s="20"/>
      <c r="G60" s="20"/>
      <c r="H60" s="20"/>
      <c r="I60" s="20"/>
      <c r="J60" s="20"/>
      <c r="K60" s="20"/>
    </row>
    <row r="61" spans="3:11" x14ac:dyDescent="0.55000000000000004">
      <c r="C61" s="20"/>
      <c r="D61" s="20"/>
      <c r="E61" s="20"/>
      <c r="F61" s="20"/>
      <c r="G61" s="20"/>
      <c r="H61" s="20"/>
      <c r="I61" s="20"/>
      <c r="J61" s="20"/>
      <c r="K61" s="20"/>
    </row>
    <row r="62" spans="3:11" x14ac:dyDescent="0.55000000000000004">
      <c r="C62" s="20"/>
      <c r="D62" s="20"/>
      <c r="E62" s="20"/>
      <c r="F62" s="20"/>
      <c r="G62" s="20"/>
      <c r="H62" s="20"/>
      <c r="I62" s="20"/>
      <c r="J62" s="20"/>
      <c r="K62" s="20"/>
    </row>
    <row r="63" spans="3:11" x14ac:dyDescent="0.55000000000000004">
      <c r="C63" s="20"/>
      <c r="D63" s="20"/>
      <c r="E63" s="20"/>
      <c r="F63" s="20"/>
      <c r="G63" s="20"/>
      <c r="H63" s="20"/>
      <c r="I63" s="20"/>
      <c r="J63" s="20"/>
      <c r="K63" s="20"/>
    </row>
    <row r="64" spans="3:11" x14ac:dyDescent="0.55000000000000004">
      <c r="C64" s="20"/>
      <c r="D64" s="20"/>
      <c r="E64" s="20"/>
      <c r="F64" s="20"/>
      <c r="G64" s="20"/>
      <c r="H64" s="20"/>
      <c r="I64" s="20"/>
      <c r="J64" s="20"/>
      <c r="K64" s="20"/>
    </row>
    <row r="65" spans="3:11" x14ac:dyDescent="0.55000000000000004">
      <c r="C65" s="20"/>
      <c r="D65" s="20"/>
      <c r="E65" s="20"/>
      <c r="F65" s="20"/>
      <c r="G65" s="20"/>
      <c r="H65" s="20"/>
      <c r="I65" s="20"/>
      <c r="J65" s="20"/>
      <c r="K65" s="20"/>
    </row>
    <row r="66" spans="3:11" x14ac:dyDescent="0.55000000000000004">
      <c r="C66" s="20"/>
      <c r="D66" s="20"/>
      <c r="E66" s="20"/>
      <c r="F66" s="20"/>
      <c r="G66" s="20"/>
      <c r="H66" s="20"/>
      <c r="I66" s="20"/>
      <c r="J66" s="20"/>
      <c r="K66" s="20"/>
    </row>
    <row r="67" spans="3:11" x14ac:dyDescent="0.55000000000000004">
      <c r="C67" s="20"/>
      <c r="D67" s="20"/>
      <c r="E67" s="20"/>
      <c r="F67" s="20"/>
      <c r="G67" s="20"/>
      <c r="H67" s="20"/>
      <c r="I67" s="20"/>
      <c r="J67" s="20"/>
      <c r="K67" s="20"/>
    </row>
    <row r="68" spans="3:11" x14ac:dyDescent="0.55000000000000004">
      <c r="C68" s="20"/>
      <c r="D68" s="20"/>
      <c r="E68" s="20"/>
      <c r="F68" s="20"/>
      <c r="G68" s="20"/>
      <c r="H68" s="20"/>
      <c r="I68" s="20"/>
      <c r="J68" s="20"/>
      <c r="K68" s="20"/>
    </row>
    <row r="69" spans="3:11" x14ac:dyDescent="0.55000000000000004">
      <c r="C69" s="20"/>
      <c r="D69" s="20"/>
      <c r="E69" s="20"/>
      <c r="F69" s="20"/>
      <c r="G69" s="20"/>
      <c r="H69" s="20"/>
      <c r="I69" s="20"/>
      <c r="J69" s="20"/>
      <c r="K69" s="20"/>
    </row>
    <row r="70" spans="3:11" x14ac:dyDescent="0.55000000000000004">
      <c r="C70" s="20"/>
      <c r="D70" s="20"/>
      <c r="E70" s="20"/>
      <c r="F70" s="20"/>
      <c r="G70" s="20"/>
      <c r="H70" s="20"/>
      <c r="I70" s="20"/>
      <c r="J70" s="20"/>
      <c r="K70" s="20"/>
    </row>
    <row r="71" spans="3:11" x14ac:dyDescent="0.55000000000000004">
      <c r="C71" s="20"/>
      <c r="D71" s="20"/>
      <c r="E71" s="20"/>
      <c r="F71" s="20"/>
      <c r="G71" s="20"/>
      <c r="H71" s="20"/>
      <c r="I71" s="20"/>
      <c r="J71" s="20"/>
      <c r="K71" s="20"/>
    </row>
    <row r="72" spans="3:11" x14ac:dyDescent="0.55000000000000004">
      <c r="C72" s="20"/>
      <c r="D72" s="20"/>
      <c r="E72" s="20"/>
      <c r="F72" s="20"/>
      <c r="G72" s="20"/>
      <c r="H72" s="20"/>
      <c r="I72" s="20"/>
      <c r="J72" s="20"/>
      <c r="K72" s="20"/>
    </row>
    <row r="73" spans="3:11" x14ac:dyDescent="0.55000000000000004">
      <c r="C73" s="20"/>
      <c r="D73" s="20"/>
      <c r="E73" s="20"/>
      <c r="F73" s="20"/>
      <c r="G73" s="20"/>
      <c r="H73" s="20"/>
      <c r="I73" s="20"/>
      <c r="J73" s="20"/>
      <c r="K73" s="20"/>
    </row>
    <row r="74" spans="3:11" x14ac:dyDescent="0.55000000000000004">
      <c r="C74" s="20"/>
      <c r="D74" s="20"/>
      <c r="E74" s="20"/>
      <c r="F74" s="20"/>
      <c r="G74" s="20"/>
      <c r="H74" s="20"/>
      <c r="I74" s="20"/>
      <c r="J74" s="20"/>
      <c r="K74" s="20"/>
    </row>
    <row r="75" spans="3:11" x14ac:dyDescent="0.55000000000000004">
      <c r="C75" s="20"/>
      <c r="D75" s="20"/>
      <c r="E75" s="20"/>
      <c r="F75" s="20"/>
      <c r="G75" s="20"/>
      <c r="H75" s="20"/>
      <c r="I75" s="20"/>
      <c r="J75" s="20"/>
      <c r="K75" s="20"/>
    </row>
    <row r="76" spans="3:11" x14ac:dyDescent="0.55000000000000004">
      <c r="C76" s="20"/>
      <c r="D76" s="20"/>
      <c r="E76" s="20"/>
      <c r="F76" s="20"/>
      <c r="G76" s="20"/>
      <c r="H76" s="20"/>
      <c r="I76" s="20"/>
      <c r="J76" s="20"/>
      <c r="K76" s="20"/>
    </row>
    <row r="77" spans="3:11" x14ac:dyDescent="0.55000000000000004">
      <c r="C77" s="20"/>
      <c r="D77" s="20"/>
      <c r="E77" s="20"/>
      <c r="F77" s="20"/>
      <c r="G77" s="20"/>
      <c r="H77" s="20"/>
      <c r="I77" s="20"/>
      <c r="J77" s="20"/>
      <c r="K77" s="20"/>
    </row>
    <row r="78" spans="3:11" x14ac:dyDescent="0.55000000000000004">
      <c r="C78" s="20"/>
      <c r="D78" s="20"/>
      <c r="E78" s="20"/>
      <c r="F78" s="20"/>
      <c r="G78" s="20"/>
      <c r="H78" s="20"/>
      <c r="I78" s="20"/>
      <c r="J78" s="20"/>
      <c r="K78" s="20"/>
    </row>
    <row r="79" spans="3:11" x14ac:dyDescent="0.55000000000000004">
      <c r="C79" s="20"/>
      <c r="D79" s="20"/>
      <c r="E79" s="20"/>
      <c r="F79" s="20"/>
      <c r="G79" s="20"/>
      <c r="H79" s="20"/>
      <c r="I79" s="20"/>
      <c r="J79" s="20"/>
      <c r="K79" s="20"/>
    </row>
    <row r="80" spans="3:11" x14ac:dyDescent="0.55000000000000004">
      <c r="C80" s="20"/>
      <c r="D80" s="20"/>
      <c r="E80" s="20"/>
      <c r="F80" s="20"/>
      <c r="G80" s="20"/>
      <c r="H80" s="20"/>
      <c r="I80" s="20"/>
      <c r="J80" s="20"/>
      <c r="K80" s="20"/>
    </row>
    <row r="81" spans="3:11" x14ac:dyDescent="0.55000000000000004">
      <c r="C81" s="20"/>
      <c r="D81" s="20"/>
      <c r="E81" s="20"/>
      <c r="F81" s="20"/>
      <c r="G81" s="20"/>
      <c r="H81" s="20"/>
      <c r="I81" s="20"/>
      <c r="J81" s="20"/>
      <c r="K81" s="20"/>
    </row>
    <row r="82" spans="3:11" x14ac:dyDescent="0.55000000000000004">
      <c r="C82" s="20"/>
      <c r="D82" s="20"/>
      <c r="E82" s="20"/>
      <c r="F82" s="20"/>
      <c r="G82" s="20"/>
      <c r="H82" s="20"/>
      <c r="I82" s="20"/>
      <c r="J82" s="20"/>
      <c r="K82" s="20"/>
    </row>
    <row r="83" spans="3:11" x14ac:dyDescent="0.55000000000000004">
      <c r="C83" s="20"/>
      <c r="D83" s="20"/>
      <c r="E83" s="20"/>
      <c r="F83" s="20"/>
      <c r="G83" s="20"/>
      <c r="H83" s="20"/>
      <c r="I83" s="20"/>
      <c r="J83" s="20"/>
      <c r="K83" s="20"/>
    </row>
    <row r="84" spans="3:11" x14ac:dyDescent="0.55000000000000004">
      <c r="C84" s="20"/>
      <c r="D84" s="20"/>
      <c r="E84" s="20"/>
      <c r="F84" s="20"/>
      <c r="G84" s="20"/>
      <c r="H84" s="20"/>
      <c r="I84" s="20"/>
      <c r="J84" s="20"/>
      <c r="K84" s="20"/>
    </row>
    <row r="85" spans="3:11" x14ac:dyDescent="0.55000000000000004">
      <c r="C85" s="20"/>
      <c r="D85" s="20"/>
      <c r="E85" s="20"/>
      <c r="F85" s="20"/>
      <c r="G85" s="20"/>
      <c r="H85" s="20"/>
      <c r="I85" s="20"/>
      <c r="J85" s="20"/>
      <c r="K85" s="20"/>
    </row>
    <row r="86" spans="3:11" x14ac:dyDescent="0.55000000000000004">
      <c r="C86" s="20"/>
      <c r="D86" s="20"/>
      <c r="E86" s="20"/>
      <c r="F86" s="20"/>
      <c r="G86" s="20"/>
      <c r="H86" s="20"/>
      <c r="I86" s="20"/>
      <c r="J86" s="20"/>
      <c r="K86" s="20"/>
    </row>
    <row r="87" spans="3:11" x14ac:dyDescent="0.55000000000000004">
      <c r="C87" s="20"/>
      <c r="D87" s="20"/>
      <c r="E87" s="20"/>
      <c r="F87" s="20"/>
      <c r="G87" s="20"/>
      <c r="H87" s="20"/>
      <c r="I87" s="20"/>
      <c r="J87" s="20"/>
      <c r="K87" s="20"/>
    </row>
    <row r="88" spans="3:11" x14ac:dyDescent="0.55000000000000004">
      <c r="C88" s="20"/>
      <c r="D88" s="20"/>
      <c r="E88" s="20"/>
      <c r="F88" s="20"/>
      <c r="G88" s="20"/>
      <c r="H88" s="20"/>
      <c r="I88" s="20"/>
      <c r="J88" s="20"/>
      <c r="K88" s="20"/>
    </row>
    <row r="89" spans="3:11" x14ac:dyDescent="0.55000000000000004">
      <c r="C89" s="20"/>
      <c r="D89" s="20"/>
      <c r="E89" s="20"/>
      <c r="F89" s="20"/>
      <c r="G89" s="20"/>
      <c r="H89" s="20"/>
      <c r="I89" s="20"/>
      <c r="J89" s="20"/>
      <c r="K89" s="20"/>
    </row>
    <row r="90" spans="3:11" x14ac:dyDescent="0.55000000000000004">
      <c r="C90" s="20"/>
      <c r="D90" s="20"/>
      <c r="E90" s="20"/>
      <c r="F90" s="20"/>
      <c r="G90" s="20"/>
      <c r="H90" s="20"/>
      <c r="I90" s="20"/>
      <c r="J90" s="20"/>
      <c r="K90" s="20"/>
    </row>
    <row r="91" spans="3:11" x14ac:dyDescent="0.55000000000000004">
      <c r="C91" s="20"/>
      <c r="D91" s="20"/>
      <c r="E91" s="20"/>
      <c r="F91" s="20"/>
      <c r="G91" s="20"/>
      <c r="H91" s="20"/>
      <c r="I91" s="20"/>
      <c r="J91" s="20"/>
      <c r="K91" s="20"/>
    </row>
    <row r="92" spans="3:11" x14ac:dyDescent="0.55000000000000004">
      <c r="C92" s="20"/>
      <c r="D92" s="20"/>
      <c r="E92" s="20"/>
      <c r="F92" s="20"/>
      <c r="G92" s="20"/>
      <c r="H92" s="20"/>
      <c r="I92" s="20"/>
      <c r="J92" s="20"/>
      <c r="K92" s="20"/>
    </row>
    <row r="93" spans="3:11" x14ac:dyDescent="0.55000000000000004">
      <c r="C93" s="20"/>
      <c r="D93" s="20"/>
      <c r="E93" s="20"/>
      <c r="F93" s="20"/>
      <c r="G93" s="20"/>
      <c r="H93" s="20"/>
      <c r="I93" s="20"/>
      <c r="J93" s="20"/>
      <c r="K93" s="20"/>
    </row>
    <row r="94" spans="3:11" x14ac:dyDescent="0.55000000000000004">
      <c r="C94" s="20"/>
      <c r="D94" s="20"/>
      <c r="E94" s="20"/>
      <c r="F94" s="20"/>
      <c r="G94" s="20"/>
      <c r="H94" s="20"/>
      <c r="I94" s="20"/>
      <c r="J94" s="20"/>
      <c r="K94" s="20"/>
    </row>
    <row r="95" spans="3:11" x14ac:dyDescent="0.55000000000000004">
      <c r="C95" s="20"/>
      <c r="D95" s="20"/>
      <c r="E95" s="20"/>
      <c r="F95" s="20"/>
      <c r="G95" s="20"/>
      <c r="H95" s="20"/>
      <c r="I95" s="20"/>
      <c r="J95" s="20"/>
      <c r="K95" s="20"/>
    </row>
    <row r="96" spans="3:11" x14ac:dyDescent="0.55000000000000004">
      <c r="C96" s="20"/>
      <c r="D96" s="20"/>
      <c r="E96" s="20"/>
      <c r="F96" s="20"/>
      <c r="G96" s="20"/>
      <c r="H96" s="20"/>
      <c r="I96" s="20"/>
      <c r="J96" s="20"/>
      <c r="K96" s="20"/>
    </row>
    <row r="97" spans="3:11" x14ac:dyDescent="0.55000000000000004">
      <c r="C97" s="20"/>
      <c r="D97" s="20"/>
      <c r="E97" s="20"/>
      <c r="F97" s="20"/>
      <c r="G97" s="20"/>
      <c r="H97" s="20"/>
      <c r="I97" s="20"/>
      <c r="J97" s="20"/>
      <c r="K97" s="20"/>
    </row>
    <row r="98" spans="3:11" x14ac:dyDescent="0.55000000000000004">
      <c r="C98" s="20"/>
      <c r="D98" s="20"/>
      <c r="E98" s="20"/>
      <c r="F98" s="20"/>
      <c r="G98" s="20"/>
      <c r="H98" s="20"/>
      <c r="I98" s="20"/>
      <c r="J98" s="20"/>
      <c r="K98" s="20"/>
    </row>
  </sheetData>
  <sheetProtection algorithmName="SHA-512" hashValue="YeCqtxe3cneZE66vECeD8pADN8Pu2EXGWnofq1ihQ0UemGl9zdZ4NB2EGpDEr3WPxBOhZ6bjOtR67RPdnkK/JA==" saltValue="bAsuPwy+z1OWeozm25/NsQ==" spinCount="100000" sheet="1" objects="1" scenarios="1" selectLockedCells="1"/>
  <mergeCells count="1">
    <mergeCell ref="E8:H9"/>
  </mergeCells>
  <pageMargins left="0.70866141732283472" right="0.70866141732283472" top="0.94488188976377963" bottom="0.74803149606299213" header="0.31496062992125984" footer="0.31496062992125984"/>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97FA-974A-4DEA-B6C4-5395B6FFB0E9}">
  <sheetPr codeName="Blad17"/>
  <dimension ref="B1:D18"/>
  <sheetViews>
    <sheetView workbookViewId="0"/>
  </sheetViews>
  <sheetFormatPr defaultRowHeight="14.4" x14ac:dyDescent="0.55000000000000004"/>
  <cols>
    <col min="1" max="1" width="2.62890625" style="12" customWidth="1"/>
    <col min="2" max="2" width="84.62890625" style="12" customWidth="1"/>
    <col min="3" max="16384" width="8.83984375" style="12"/>
  </cols>
  <sheetData>
    <row r="1" spans="2:4" ht="14.4" customHeight="1" x14ac:dyDescent="0.55000000000000004"/>
    <row r="2" spans="2:4" x14ac:dyDescent="0.55000000000000004">
      <c r="B2" s="31" t="s">
        <v>801</v>
      </c>
    </row>
    <row r="3" spans="2:4" x14ac:dyDescent="0.55000000000000004">
      <c r="B3" s="31" t="s">
        <v>794</v>
      </c>
    </row>
    <row r="4" spans="2:4" x14ac:dyDescent="0.55000000000000004">
      <c r="B4" s="31" t="s">
        <v>795</v>
      </c>
    </row>
    <row r="5" spans="2:4" x14ac:dyDescent="0.55000000000000004">
      <c r="B5" s="31"/>
    </row>
    <row r="6" spans="2:4" x14ac:dyDescent="0.55000000000000004">
      <c r="B6" s="31"/>
    </row>
    <row r="7" spans="2:4" x14ac:dyDescent="0.55000000000000004">
      <c r="B7" s="31" t="s">
        <v>804</v>
      </c>
    </row>
    <row r="8" spans="2:4" x14ac:dyDescent="0.55000000000000004">
      <c r="B8" s="31" t="s">
        <v>400</v>
      </c>
      <c r="D8" s="301" t="s">
        <v>716</v>
      </c>
    </row>
    <row r="9" spans="2:4" x14ac:dyDescent="0.55000000000000004">
      <c r="B9" s="31" t="s">
        <v>401</v>
      </c>
      <c r="D9" s="301" t="s">
        <v>717</v>
      </c>
    </row>
    <row r="10" spans="2:4" x14ac:dyDescent="0.55000000000000004">
      <c r="B10" s="14"/>
    </row>
    <row r="11" spans="2:4" x14ac:dyDescent="0.55000000000000004">
      <c r="C11" s="15"/>
    </row>
    <row r="12" spans="2:4" x14ac:dyDescent="0.55000000000000004">
      <c r="B12" s="14"/>
    </row>
    <row r="13" spans="2:4" x14ac:dyDescent="0.55000000000000004">
      <c r="B13" s="14"/>
    </row>
    <row r="14" spans="2:4" x14ac:dyDescent="0.55000000000000004">
      <c r="B14" s="30" t="s">
        <v>799</v>
      </c>
    </row>
    <row r="15" spans="2:4" x14ac:dyDescent="0.55000000000000004">
      <c r="B15" s="14"/>
    </row>
    <row r="16" spans="2:4" ht="43.2" x14ac:dyDescent="0.55000000000000004">
      <c r="B16" s="30" t="s">
        <v>828</v>
      </c>
    </row>
    <row r="18" spans="2:2" ht="23.1" x14ac:dyDescent="0.85">
      <c r="B18" s="36" t="s">
        <v>725</v>
      </c>
    </row>
  </sheetData>
  <sheetProtection algorithmName="SHA-512" hashValue="UJjaKXc7KGIMVzAg1U00PxyvOKXl3Fz8aAPI9uL3aD6eEy0HxpnhcwiQYlm3OUW3VzFFVhrK2YKHaH7kr07H8Q==" saltValue="AjY8hVo4D+JAQgB6WrijaQ==" spinCount="100000" sheet="1" objects="1" scenarios="1" selectLockedCells="1"/>
  <pageMargins left="0.70866141732283472" right="0.70866141732283472" top="1.3385826771653544" bottom="0.74803149606299213" header="0.31496062992125984" footer="0.31496062992125984"/>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4459-6CA2-4A33-991E-F1F0D09A41BD}">
  <sheetPr codeName="Blad18"/>
  <dimension ref="A1:D20"/>
  <sheetViews>
    <sheetView workbookViewId="0"/>
  </sheetViews>
  <sheetFormatPr defaultRowHeight="14.4" x14ac:dyDescent="0.55000000000000004"/>
  <cols>
    <col min="1" max="1" width="2.62890625" style="6" customWidth="1"/>
    <col min="2" max="2" width="84.62890625" style="6" customWidth="1"/>
    <col min="3" max="16384" width="8.83984375" style="6"/>
  </cols>
  <sheetData>
    <row r="1" spans="1:4" ht="14.4" customHeight="1" x14ac:dyDescent="0.6">
      <c r="A1" s="331"/>
    </row>
    <row r="2" spans="1:4" x14ac:dyDescent="0.55000000000000004">
      <c r="B2" s="31" t="s">
        <v>411</v>
      </c>
    </row>
    <row r="3" spans="1:4" x14ac:dyDescent="0.55000000000000004">
      <c r="B3" s="31" t="s">
        <v>808</v>
      </c>
    </row>
    <row r="4" spans="1:4" x14ac:dyDescent="0.55000000000000004">
      <c r="B4" s="31" t="s">
        <v>412</v>
      </c>
    </row>
    <row r="5" spans="1:4" x14ac:dyDescent="0.55000000000000004">
      <c r="B5" s="31" t="s">
        <v>413</v>
      </c>
    </row>
    <row r="6" spans="1:4" x14ac:dyDescent="0.55000000000000004">
      <c r="B6" s="31"/>
    </row>
    <row r="7" spans="1:4" x14ac:dyDescent="0.55000000000000004">
      <c r="B7" s="31"/>
    </row>
    <row r="8" spans="1:4" x14ac:dyDescent="0.55000000000000004">
      <c r="B8" s="31"/>
      <c r="D8" s="301" t="s">
        <v>716</v>
      </c>
    </row>
    <row r="9" spans="1:4" x14ac:dyDescent="0.55000000000000004">
      <c r="B9" s="31"/>
      <c r="D9" s="301" t="s">
        <v>717</v>
      </c>
    </row>
    <row r="10" spans="1:4" x14ac:dyDescent="0.55000000000000004">
      <c r="B10" s="31"/>
    </row>
    <row r="11" spans="1:4" x14ac:dyDescent="0.55000000000000004">
      <c r="B11" s="31" t="s">
        <v>829</v>
      </c>
    </row>
    <row r="12" spans="1:4" x14ac:dyDescent="0.55000000000000004">
      <c r="B12" s="31" t="s">
        <v>816</v>
      </c>
    </row>
    <row r="13" spans="1:4" x14ac:dyDescent="0.55000000000000004">
      <c r="B13" s="549" t="s">
        <v>416</v>
      </c>
    </row>
    <row r="14" spans="1:4" x14ac:dyDescent="0.55000000000000004">
      <c r="B14" s="549" t="s">
        <v>805</v>
      </c>
    </row>
    <row r="15" spans="1:4" x14ac:dyDescent="0.55000000000000004">
      <c r="C15" s="32"/>
    </row>
    <row r="16" spans="1:4" x14ac:dyDescent="0.55000000000000004">
      <c r="B16" s="31"/>
    </row>
    <row r="17" spans="2:2" x14ac:dyDescent="0.55000000000000004">
      <c r="B17" s="31"/>
    </row>
    <row r="18" spans="2:2" x14ac:dyDescent="0.55000000000000004">
      <c r="B18" s="30" t="s">
        <v>810</v>
      </c>
    </row>
    <row r="20" spans="2:2" ht="23.1" x14ac:dyDescent="0.85">
      <c r="B20" s="36" t="s">
        <v>725</v>
      </c>
    </row>
  </sheetData>
  <sheetProtection algorithmName="SHA-512" hashValue="aOeQgyFbvyPBClZZLYlLlfnmNEL8mDgRtJ6R7gOgwH0ioAm6VXigNEcERlUnFtEl6AApX+nQOt+g97Z4cqkuuQ==" saltValue="puHyxv0DCuf1ppJdGUxHCA==" spinCount="100000" sheet="1" objects="1" scenarios="1" selectLockedCells="1"/>
  <pageMargins left="0.70866141732283472" right="0.70866141732283472" top="1.3385826771653544" bottom="0.74803149606299213" header="0.31496062992125984" footer="0.31496062992125984"/>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A0F5-0590-47FD-B18D-F0F75DCBB60F}">
  <sheetPr codeName="Blad19"/>
  <dimension ref="B1:D20"/>
  <sheetViews>
    <sheetView workbookViewId="0"/>
  </sheetViews>
  <sheetFormatPr defaultRowHeight="14.4" x14ac:dyDescent="0.55000000000000004"/>
  <cols>
    <col min="1" max="1" width="2.62890625" style="33" customWidth="1"/>
    <col min="2" max="2" width="84.62890625" style="33" customWidth="1"/>
    <col min="3" max="16384" width="8.83984375" style="33"/>
  </cols>
  <sheetData>
    <row r="1" spans="2:4" ht="14.4" customHeight="1" x14ac:dyDescent="0.55000000000000004"/>
    <row r="2" spans="2:4" x14ac:dyDescent="0.55000000000000004">
      <c r="B2" s="31" t="s">
        <v>411</v>
      </c>
    </row>
    <row r="3" spans="2:4" x14ac:dyDescent="0.55000000000000004">
      <c r="B3" s="31" t="s">
        <v>808</v>
      </c>
    </row>
    <row r="4" spans="2:4" x14ac:dyDescent="0.55000000000000004">
      <c r="B4" s="31" t="s">
        <v>412</v>
      </c>
    </row>
    <row r="5" spans="2:4" x14ac:dyDescent="0.55000000000000004">
      <c r="B5" s="31" t="s">
        <v>413</v>
      </c>
    </row>
    <row r="6" spans="2:4" x14ac:dyDescent="0.55000000000000004">
      <c r="B6" s="31"/>
    </row>
    <row r="7" spans="2:4" x14ac:dyDescent="0.55000000000000004">
      <c r="B7" s="31"/>
    </row>
    <row r="8" spans="2:4" x14ac:dyDescent="0.55000000000000004">
      <c r="B8" s="31"/>
      <c r="D8" s="301" t="s">
        <v>716</v>
      </c>
    </row>
    <row r="9" spans="2:4" x14ac:dyDescent="0.55000000000000004">
      <c r="B9" s="31"/>
      <c r="D9" s="301" t="s">
        <v>717</v>
      </c>
    </row>
    <row r="10" spans="2:4" x14ac:dyDescent="0.55000000000000004">
      <c r="B10" s="31"/>
    </row>
    <row r="11" spans="2:4" x14ac:dyDescent="0.55000000000000004">
      <c r="B11" s="31" t="s">
        <v>809</v>
      </c>
    </row>
    <row r="12" spans="2:4" x14ac:dyDescent="0.55000000000000004">
      <c r="B12" s="31" t="s">
        <v>815</v>
      </c>
    </row>
    <row r="13" spans="2:4" x14ac:dyDescent="0.55000000000000004">
      <c r="B13" s="56" t="s">
        <v>806</v>
      </c>
    </row>
    <row r="14" spans="2:4" x14ac:dyDescent="0.55000000000000004">
      <c r="B14" s="56" t="s">
        <v>807</v>
      </c>
    </row>
    <row r="15" spans="2:4" x14ac:dyDescent="0.55000000000000004">
      <c r="B15" s="6"/>
      <c r="C15" s="32"/>
    </row>
    <row r="16" spans="2:4" x14ac:dyDescent="0.55000000000000004">
      <c r="B16" s="31"/>
    </row>
    <row r="17" spans="2:2" x14ac:dyDescent="0.55000000000000004">
      <c r="B17" s="31"/>
    </row>
    <row r="18" spans="2:2" x14ac:dyDescent="0.55000000000000004">
      <c r="B18" s="30" t="s">
        <v>810</v>
      </c>
    </row>
    <row r="20" spans="2:2" ht="23.1" x14ac:dyDescent="0.85">
      <c r="B20" s="36" t="s">
        <v>725</v>
      </c>
    </row>
  </sheetData>
  <sheetProtection algorithmName="SHA-512" hashValue="cDpZKEE5u4t96BLCnOObi73jFcnN+vuRGQFVeQZQeXnfD8u9mpKi3ZGmvu8+7kddGQ1diN4sBF31VMD1LJQPPg==" saltValue="lSknCDx+kJXX1rq6S+v5qg==" spinCount="100000" sheet="1" objects="1" scenarios="1" selectLockedCells="1"/>
  <pageMargins left="0.70866141732283472" right="0.70866141732283472" top="1.3385826771653544" bottom="0.74803149606299213" header="0.31496062992125984" footer="0.31496062992125984"/>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D190-041A-48E3-A457-59B22A327712}">
  <sheetPr codeName="Blad20"/>
  <dimension ref="A1:P60"/>
  <sheetViews>
    <sheetView workbookViewId="0"/>
  </sheetViews>
  <sheetFormatPr defaultRowHeight="14.4" x14ac:dyDescent="0.55000000000000004"/>
  <cols>
    <col min="1" max="1" width="2.89453125" customWidth="1"/>
    <col min="2" max="2" width="8.26171875" customWidth="1"/>
    <col min="3" max="3" width="6.1015625" customWidth="1"/>
    <col min="4" max="4" width="6.83984375" customWidth="1"/>
    <col min="5" max="5" width="15" customWidth="1"/>
    <col min="6" max="6" width="4.20703125" customWidth="1"/>
    <col min="7" max="7" width="18.20703125" customWidth="1"/>
    <col min="8" max="8" width="9.89453125" style="4" customWidth="1"/>
    <col min="9" max="9" width="9" style="4" customWidth="1"/>
    <col min="10" max="10" width="9.7890625" customWidth="1"/>
    <col min="11" max="11" width="11.26171875" customWidth="1"/>
    <col min="12" max="12" width="10.68359375" style="5" customWidth="1"/>
    <col min="13" max="13" width="6.26171875" style="4" customWidth="1"/>
    <col min="14" max="14" width="8.7890625" style="4" customWidth="1"/>
  </cols>
  <sheetData>
    <row r="1" spans="1:16" x14ac:dyDescent="0.55000000000000004">
      <c r="A1" s="552"/>
    </row>
    <row r="2" spans="1:16" ht="20.399999999999999" x14ac:dyDescent="0.75">
      <c r="B2" s="37" t="s">
        <v>428</v>
      </c>
      <c r="H2" s="45" t="s">
        <v>397</v>
      </c>
    </row>
    <row r="3" spans="1:16" ht="15.6" x14ac:dyDescent="0.6">
      <c r="B3" s="38" t="s">
        <v>424</v>
      </c>
    </row>
    <row r="5" spans="1:16" s="47" customFormat="1" ht="10.5" x14ac:dyDescent="0.4">
      <c r="B5" s="46" t="s">
        <v>259</v>
      </c>
      <c r="C5" s="47" t="s">
        <v>426</v>
      </c>
      <c r="D5" s="46" t="s">
        <v>615</v>
      </c>
      <c r="E5" s="47" t="s">
        <v>108</v>
      </c>
      <c r="F5" s="46" t="s">
        <v>116</v>
      </c>
      <c r="G5" s="47" t="s">
        <v>88</v>
      </c>
      <c r="H5" s="46" t="s">
        <v>98</v>
      </c>
      <c r="I5" s="46" t="s">
        <v>378</v>
      </c>
      <c r="J5" s="47" t="s">
        <v>111</v>
      </c>
      <c r="K5" s="47" t="s">
        <v>258</v>
      </c>
      <c r="L5" s="48" t="s">
        <v>429</v>
      </c>
      <c r="M5" s="46" t="s">
        <v>430</v>
      </c>
      <c r="N5" s="46" t="s">
        <v>224</v>
      </c>
    </row>
    <row r="6" spans="1:16" s="54" customFormat="1" ht="10.5" x14ac:dyDescent="0.4">
      <c r="B6" s="49">
        <v>123451234</v>
      </c>
      <c r="C6" s="49" t="s">
        <v>115</v>
      </c>
      <c r="D6" s="49" t="s">
        <v>779</v>
      </c>
      <c r="E6" s="50" t="s">
        <v>114</v>
      </c>
      <c r="F6" s="49" t="s">
        <v>117</v>
      </c>
      <c r="G6" s="51" t="s">
        <v>121</v>
      </c>
      <c r="H6" s="52">
        <v>20121</v>
      </c>
      <c r="I6" s="52">
        <v>35650</v>
      </c>
      <c r="J6" s="52" t="s">
        <v>779</v>
      </c>
      <c r="K6" s="53" t="s">
        <v>779</v>
      </c>
      <c r="L6" s="50" t="s">
        <v>118</v>
      </c>
      <c r="M6" s="49">
        <v>1</v>
      </c>
      <c r="N6" s="49" t="s">
        <v>779</v>
      </c>
    </row>
    <row r="7" spans="1:16" s="54" customFormat="1" ht="10.5" x14ac:dyDescent="0.4">
      <c r="B7" s="49">
        <v>543215432</v>
      </c>
      <c r="C7" s="49" t="s">
        <v>127</v>
      </c>
      <c r="D7" s="49" t="s">
        <v>779</v>
      </c>
      <c r="E7" s="50" t="s">
        <v>126</v>
      </c>
      <c r="F7" s="49" t="s">
        <v>117</v>
      </c>
      <c r="G7" s="51" t="s">
        <v>121</v>
      </c>
      <c r="H7" s="52">
        <v>20467</v>
      </c>
      <c r="I7" s="52">
        <v>37510</v>
      </c>
      <c r="J7" s="52" t="s">
        <v>779</v>
      </c>
      <c r="K7" s="53" t="s">
        <v>779</v>
      </c>
      <c r="L7" s="50" t="s">
        <v>118</v>
      </c>
      <c r="M7" s="49">
        <v>1</v>
      </c>
      <c r="N7" s="49" t="s">
        <v>779</v>
      </c>
    </row>
    <row r="8" spans="1:16" s="54" customFormat="1" ht="10.5" x14ac:dyDescent="0.4">
      <c r="B8" s="49">
        <v>123451234</v>
      </c>
      <c r="C8" s="49" t="s">
        <v>366</v>
      </c>
      <c r="D8" s="49" t="s">
        <v>373</v>
      </c>
      <c r="E8" s="50" t="s">
        <v>128</v>
      </c>
      <c r="F8" s="49" t="s">
        <v>129</v>
      </c>
      <c r="G8" s="51" t="s">
        <v>121</v>
      </c>
      <c r="H8" s="52">
        <v>24709</v>
      </c>
      <c r="I8" s="52">
        <v>41640</v>
      </c>
      <c r="J8" s="52" t="s">
        <v>779</v>
      </c>
      <c r="K8" s="53" t="s">
        <v>779</v>
      </c>
      <c r="L8" s="50" t="s">
        <v>406</v>
      </c>
      <c r="M8" s="49">
        <v>0.8</v>
      </c>
      <c r="N8" s="49" t="s">
        <v>779</v>
      </c>
    </row>
    <row r="9" spans="1:16" s="54" customFormat="1" ht="10.5" x14ac:dyDescent="0.4">
      <c r="B9" s="49">
        <v>543215432</v>
      </c>
      <c r="C9" s="49" t="s">
        <v>131</v>
      </c>
      <c r="D9" s="49" t="s">
        <v>779</v>
      </c>
      <c r="E9" s="50" t="s">
        <v>130</v>
      </c>
      <c r="F9" s="49" t="s">
        <v>117</v>
      </c>
      <c r="G9" s="51" t="s">
        <v>121</v>
      </c>
      <c r="H9" s="52">
        <v>32608</v>
      </c>
      <c r="I9" s="52">
        <v>41244</v>
      </c>
      <c r="J9" s="52" t="s">
        <v>779</v>
      </c>
      <c r="K9" s="53" t="s">
        <v>779</v>
      </c>
      <c r="L9" s="50" t="s">
        <v>118</v>
      </c>
      <c r="M9" s="49">
        <v>1</v>
      </c>
      <c r="N9" s="49" t="s">
        <v>779</v>
      </c>
      <c r="P9" s="54" t="s">
        <v>718</v>
      </c>
    </row>
    <row r="10" spans="1:16" s="54" customFormat="1" ht="10.5" x14ac:dyDescent="0.4">
      <c r="B10" s="49">
        <v>123451234</v>
      </c>
      <c r="C10" s="49" t="s">
        <v>133</v>
      </c>
      <c r="D10" s="49" t="s">
        <v>779</v>
      </c>
      <c r="E10" s="50" t="s">
        <v>132</v>
      </c>
      <c r="F10" s="49" t="s">
        <v>117</v>
      </c>
      <c r="G10" s="51" t="s">
        <v>121</v>
      </c>
      <c r="H10" s="52">
        <v>26414</v>
      </c>
      <c r="I10" s="52">
        <v>43344</v>
      </c>
      <c r="J10" s="52">
        <v>44075</v>
      </c>
      <c r="K10" s="53" t="s">
        <v>257</v>
      </c>
      <c r="L10" s="50" t="s">
        <v>112</v>
      </c>
      <c r="M10" s="49">
        <v>0.8</v>
      </c>
      <c r="N10" s="49" t="s">
        <v>779</v>
      </c>
      <c r="P10" s="54" t="s">
        <v>719</v>
      </c>
    </row>
    <row r="11" spans="1:16" s="54" customFormat="1" ht="10.5" x14ac:dyDescent="0.4">
      <c r="B11" s="49">
        <v>543215432</v>
      </c>
      <c r="C11" s="49" t="s">
        <v>135</v>
      </c>
      <c r="D11" s="49" t="s">
        <v>779</v>
      </c>
      <c r="E11" s="50" t="s">
        <v>134</v>
      </c>
      <c r="F11" s="49" t="s">
        <v>117</v>
      </c>
      <c r="G11" s="51" t="s">
        <v>121</v>
      </c>
      <c r="H11" s="52">
        <v>28241</v>
      </c>
      <c r="I11" s="52">
        <v>33757</v>
      </c>
      <c r="J11" s="52" t="s">
        <v>779</v>
      </c>
      <c r="K11" s="53" t="s">
        <v>779</v>
      </c>
      <c r="L11" s="50" t="s">
        <v>118</v>
      </c>
      <c r="M11" s="49">
        <v>1</v>
      </c>
      <c r="N11" s="49" t="s">
        <v>779</v>
      </c>
    </row>
    <row r="12" spans="1:16" s="54" customFormat="1" ht="10.5" x14ac:dyDescent="0.4">
      <c r="B12" s="49">
        <v>123451234</v>
      </c>
      <c r="C12" s="49" t="s">
        <v>372</v>
      </c>
      <c r="D12" s="49" t="s">
        <v>375</v>
      </c>
      <c r="E12" s="50" t="s">
        <v>136</v>
      </c>
      <c r="F12" s="49" t="s">
        <v>117</v>
      </c>
      <c r="G12" s="51" t="s">
        <v>121</v>
      </c>
      <c r="H12" s="52">
        <v>33273</v>
      </c>
      <c r="I12" s="52">
        <v>37288</v>
      </c>
      <c r="J12" s="52" t="s">
        <v>779</v>
      </c>
      <c r="K12" s="53" t="s">
        <v>779</v>
      </c>
      <c r="L12" s="50" t="s">
        <v>118</v>
      </c>
      <c r="M12" s="49">
        <v>1</v>
      </c>
      <c r="N12" s="49" t="s">
        <v>779</v>
      </c>
    </row>
    <row r="13" spans="1:16" s="54" customFormat="1" ht="10.5" x14ac:dyDescent="0.4">
      <c r="B13" s="49">
        <v>543215432</v>
      </c>
      <c r="C13" s="49" t="s">
        <v>371</v>
      </c>
      <c r="D13" s="49" t="s">
        <v>375</v>
      </c>
      <c r="E13" s="50" t="s">
        <v>137</v>
      </c>
      <c r="F13" s="49" t="s">
        <v>117</v>
      </c>
      <c r="G13" s="51" t="s">
        <v>121</v>
      </c>
      <c r="H13" s="52">
        <v>25250</v>
      </c>
      <c r="I13" s="52">
        <v>33107</v>
      </c>
      <c r="J13" s="52" t="s">
        <v>779</v>
      </c>
      <c r="K13" s="53" t="s">
        <v>779</v>
      </c>
      <c r="L13" s="50" t="s">
        <v>118</v>
      </c>
      <c r="M13" s="49">
        <v>1</v>
      </c>
      <c r="N13" s="49" t="s">
        <v>779</v>
      </c>
    </row>
    <row r="14" spans="1:16" s="54" customFormat="1" ht="10.5" x14ac:dyDescent="0.4">
      <c r="B14" s="49">
        <v>123451234</v>
      </c>
      <c r="C14" s="49" t="s">
        <v>138</v>
      </c>
      <c r="D14" s="49" t="s">
        <v>779</v>
      </c>
      <c r="E14" s="50" t="s">
        <v>139</v>
      </c>
      <c r="F14" s="49" t="s">
        <v>129</v>
      </c>
      <c r="G14" s="51" t="s">
        <v>121</v>
      </c>
      <c r="H14" s="52">
        <v>23830</v>
      </c>
      <c r="I14" s="52">
        <v>31898</v>
      </c>
      <c r="J14" s="52" t="s">
        <v>779</v>
      </c>
      <c r="K14" s="53" t="s">
        <v>779</v>
      </c>
      <c r="L14" s="50" t="s">
        <v>118</v>
      </c>
      <c r="M14" s="49">
        <v>1</v>
      </c>
      <c r="N14" s="49" t="s">
        <v>779</v>
      </c>
    </row>
    <row r="15" spans="1:16" s="54" customFormat="1" ht="10.5" x14ac:dyDescent="0.4">
      <c r="B15" s="49">
        <v>543215432</v>
      </c>
      <c r="C15" s="49" t="s">
        <v>141</v>
      </c>
      <c r="D15" s="49" t="s">
        <v>779</v>
      </c>
      <c r="E15" s="50" t="s">
        <v>140</v>
      </c>
      <c r="F15" s="49" t="s">
        <v>117</v>
      </c>
      <c r="G15" s="51" t="s">
        <v>122</v>
      </c>
      <c r="H15" s="52">
        <v>27229</v>
      </c>
      <c r="I15" s="52">
        <v>33725</v>
      </c>
      <c r="J15" s="52" t="s">
        <v>779</v>
      </c>
      <c r="K15" s="53" t="s">
        <v>779</v>
      </c>
      <c r="L15" s="50" t="s">
        <v>118</v>
      </c>
      <c r="M15" s="49">
        <v>1</v>
      </c>
      <c r="N15" s="49" t="s">
        <v>779</v>
      </c>
    </row>
    <row r="16" spans="1:16" s="54" customFormat="1" ht="10.5" x14ac:dyDescent="0.4">
      <c r="B16" s="49">
        <v>123451234</v>
      </c>
      <c r="C16" s="49" t="s">
        <v>409</v>
      </c>
      <c r="D16" s="49" t="s">
        <v>779</v>
      </c>
      <c r="E16" s="50" t="s">
        <v>142</v>
      </c>
      <c r="F16" s="49" t="s">
        <v>117</v>
      </c>
      <c r="G16" s="51" t="s">
        <v>122</v>
      </c>
      <c r="H16" s="52">
        <v>35891</v>
      </c>
      <c r="I16" s="52">
        <v>42327</v>
      </c>
      <c r="J16" s="52" t="s">
        <v>779</v>
      </c>
      <c r="K16" s="53" t="s">
        <v>779</v>
      </c>
      <c r="L16" s="50" t="s">
        <v>406</v>
      </c>
      <c r="M16" s="49">
        <v>1</v>
      </c>
      <c r="N16" s="49" t="s">
        <v>779</v>
      </c>
    </row>
    <row r="17" spans="2:14" s="54" customFormat="1" ht="10.5" x14ac:dyDescent="0.4">
      <c r="B17" s="49">
        <v>543215432</v>
      </c>
      <c r="C17" s="49" t="s">
        <v>789</v>
      </c>
      <c r="D17" s="49" t="s">
        <v>779</v>
      </c>
      <c r="E17" s="50" t="s">
        <v>777</v>
      </c>
      <c r="F17" s="49" t="s">
        <v>117</v>
      </c>
      <c r="G17" s="51" t="s">
        <v>122</v>
      </c>
      <c r="H17" s="52">
        <v>33348</v>
      </c>
      <c r="I17" s="52">
        <v>42461</v>
      </c>
      <c r="J17" s="52" t="s">
        <v>779</v>
      </c>
      <c r="K17" s="53" t="s">
        <v>779</v>
      </c>
      <c r="L17" s="50" t="s">
        <v>118</v>
      </c>
      <c r="M17" s="49">
        <v>1</v>
      </c>
      <c r="N17" s="49" t="s">
        <v>779</v>
      </c>
    </row>
    <row r="18" spans="2:14" s="54" customFormat="1" ht="10.5" x14ac:dyDescent="0.4">
      <c r="B18" s="49">
        <v>123451234</v>
      </c>
      <c r="C18" s="49" t="s">
        <v>141</v>
      </c>
      <c r="D18" s="49" t="s">
        <v>374</v>
      </c>
      <c r="E18" s="50" t="s">
        <v>414</v>
      </c>
      <c r="F18" s="49" t="s">
        <v>117</v>
      </c>
      <c r="G18" s="51" t="s">
        <v>122</v>
      </c>
      <c r="H18" s="52">
        <v>33942</v>
      </c>
      <c r="I18" s="52">
        <v>43709</v>
      </c>
      <c r="J18" s="52">
        <v>44075</v>
      </c>
      <c r="K18" s="53" t="s">
        <v>256</v>
      </c>
      <c r="L18" s="50" t="s">
        <v>118</v>
      </c>
      <c r="M18" s="49">
        <v>1</v>
      </c>
      <c r="N18" s="49" t="s">
        <v>779</v>
      </c>
    </row>
    <row r="19" spans="2:14" s="54" customFormat="1" ht="10.5" x14ac:dyDescent="0.4">
      <c r="B19" s="49">
        <v>543215432</v>
      </c>
      <c r="C19" s="49" t="s">
        <v>145</v>
      </c>
      <c r="D19" s="49" t="s">
        <v>779</v>
      </c>
      <c r="E19" s="50" t="s">
        <v>144</v>
      </c>
      <c r="F19" s="49" t="s">
        <v>117</v>
      </c>
      <c r="G19" s="51" t="s">
        <v>122</v>
      </c>
      <c r="H19" s="52">
        <v>29721</v>
      </c>
      <c r="I19" s="52">
        <v>38025</v>
      </c>
      <c r="J19" s="52" t="s">
        <v>779</v>
      </c>
      <c r="K19" s="53" t="s">
        <v>779</v>
      </c>
      <c r="L19" s="50" t="s">
        <v>118</v>
      </c>
      <c r="M19" s="49">
        <v>1</v>
      </c>
      <c r="N19" s="49" t="s">
        <v>779</v>
      </c>
    </row>
    <row r="20" spans="2:14" s="54" customFormat="1" ht="10.5" x14ac:dyDescent="0.4">
      <c r="B20" s="49">
        <v>123451234</v>
      </c>
      <c r="C20" s="49" t="s">
        <v>115</v>
      </c>
      <c r="D20" s="49" t="s">
        <v>779</v>
      </c>
      <c r="E20" s="50" t="s">
        <v>146</v>
      </c>
      <c r="F20" s="49" t="s">
        <v>117</v>
      </c>
      <c r="G20" s="51" t="s">
        <v>122</v>
      </c>
      <c r="H20" s="52">
        <v>31834</v>
      </c>
      <c r="I20" s="52">
        <v>42401</v>
      </c>
      <c r="J20" s="52">
        <v>44287</v>
      </c>
      <c r="K20" s="53" t="s">
        <v>257</v>
      </c>
      <c r="L20" s="50" t="s">
        <v>112</v>
      </c>
      <c r="M20" s="49">
        <v>1</v>
      </c>
      <c r="N20" s="49" t="s">
        <v>779</v>
      </c>
    </row>
    <row r="21" spans="2:14" s="54" customFormat="1" ht="10.5" x14ac:dyDescent="0.4">
      <c r="B21" s="49">
        <v>543215432</v>
      </c>
      <c r="C21" s="49" t="s">
        <v>148</v>
      </c>
      <c r="D21" s="49" t="s">
        <v>779</v>
      </c>
      <c r="E21" s="50" t="s">
        <v>147</v>
      </c>
      <c r="F21" s="49" t="s">
        <v>117</v>
      </c>
      <c r="G21" s="51" t="s">
        <v>122</v>
      </c>
      <c r="H21" s="52">
        <v>28252</v>
      </c>
      <c r="I21" s="52">
        <v>37438</v>
      </c>
      <c r="J21" s="52" t="s">
        <v>779</v>
      </c>
      <c r="K21" s="53" t="s">
        <v>779</v>
      </c>
      <c r="L21" s="50" t="s">
        <v>118</v>
      </c>
      <c r="M21" s="49">
        <v>1</v>
      </c>
      <c r="N21" s="49" t="s">
        <v>779</v>
      </c>
    </row>
    <row r="22" spans="2:14" s="54" customFormat="1" ht="10.5" x14ac:dyDescent="0.4">
      <c r="B22" s="49">
        <v>123451234</v>
      </c>
      <c r="C22" s="49" t="s">
        <v>115</v>
      </c>
      <c r="D22" s="49" t="s">
        <v>779</v>
      </c>
      <c r="E22" s="50" t="s">
        <v>149</v>
      </c>
      <c r="F22" s="49" t="s">
        <v>117</v>
      </c>
      <c r="G22" s="51" t="s">
        <v>122</v>
      </c>
      <c r="H22" s="52">
        <v>27904</v>
      </c>
      <c r="I22" s="52">
        <v>40026</v>
      </c>
      <c r="J22" s="52" t="s">
        <v>779</v>
      </c>
      <c r="K22" s="53" t="s">
        <v>779</v>
      </c>
      <c r="L22" s="50" t="s">
        <v>118</v>
      </c>
      <c r="M22" s="49">
        <v>1</v>
      </c>
      <c r="N22" s="49" t="s">
        <v>76</v>
      </c>
    </row>
    <row r="23" spans="2:14" s="54" customFormat="1" ht="10.5" x14ac:dyDescent="0.4">
      <c r="B23" s="49">
        <v>182513664</v>
      </c>
      <c r="C23" s="49" t="s">
        <v>191</v>
      </c>
      <c r="D23" s="49" t="s">
        <v>779</v>
      </c>
      <c r="E23" s="50" t="s">
        <v>150</v>
      </c>
      <c r="F23" s="49" t="s">
        <v>117</v>
      </c>
      <c r="G23" s="51" t="s">
        <v>122</v>
      </c>
      <c r="H23" s="52">
        <v>31521</v>
      </c>
      <c r="I23" s="52">
        <v>42074</v>
      </c>
      <c r="J23" s="52" t="s">
        <v>779</v>
      </c>
      <c r="K23" s="53" t="s">
        <v>779</v>
      </c>
      <c r="L23" s="50" t="s">
        <v>118</v>
      </c>
      <c r="M23" s="49">
        <v>1</v>
      </c>
      <c r="N23" s="49" t="s">
        <v>779</v>
      </c>
    </row>
    <row r="24" spans="2:14" s="54" customFormat="1" ht="10.5" x14ac:dyDescent="0.4">
      <c r="B24" s="49">
        <v>182413664</v>
      </c>
      <c r="C24" s="49" t="s">
        <v>152</v>
      </c>
      <c r="D24" s="49" t="s">
        <v>779</v>
      </c>
      <c r="E24" s="50" t="s">
        <v>151</v>
      </c>
      <c r="F24" s="49" t="s">
        <v>117</v>
      </c>
      <c r="G24" s="51" t="s">
        <v>122</v>
      </c>
      <c r="H24" s="52">
        <v>25960</v>
      </c>
      <c r="I24" s="52">
        <v>35309</v>
      </c>
      <c r="J24" s="52" t="s">
        <v>779</v>
      </c>
      <c r="K24" s="53" t="s">
        <v>779</v>
      </c>
      <c r="L24" s="50" t="s">
        <v>118</v>
      </c>
      <c r="M24" s="49">
        <v>1</v>
      </c>
      <c r="N24" s="49" t="s">
        <v>779</v>
      </c>
    </row>
    <row r="25" spans="2:14" s="54" customFormat="1" ht="10.5" x14ac:dyDescent="0.4">
      <c r="B25" s="49">
        <v>543215432</v>
      </c>
      <c r="C25" s="49" t="s">
        <v>154</v>
      </c>
      <c r="D25" s="49" t="s">
        <v>779</v>
      </c>
      <c r="E25" s="50" t="s">
        <v>153</v>
      </c>
      <c r="F25" s="49" t="s">
        <v>117</v>
      </c>
      <c r="G25" s="51" t="s">
        <v>122</v>
      </c>
      <c r="H25" s="52">
        <v>27990</v>
      </c>
      <c r="I25" s="52">
        <v>39695</v>
      </c>
      <c r="J25" s="52">
        <v>44075</v>
      </c>
      <c r="K25" s="53" t="s">
        <v>580</v>
      </c>
      <c r="L25" s="50" t="s">
        <v>407</v>
      </c>
      <c r="M25" s="49">
        <v>1</v>
      </c>
      <c r="N25" s="49" t="s">
        <v>779</v>
      </c>
    </row>
    <row r="26" spans="2:14" s="54" customFormat="1" ht="10.5" x14ac:dyDescent="0.4">
      <c r="B26" s="49">
        <v>123451234</v>
      </c>
      <c r="C26" s="49" t="s">
        <v>156</v>
      </c>
      <c r="D26" s="49" t="s">
        <v>779</v>
      </c>
      <c r="E26" s="50" t="s">
        <v>155</v>
      </c>
      <c r="F26" s="49" t="s">
        <v>117</v>
      </c>
      <c r="G26" s="51" t="s">
        <v>122</v>
      </c>
      <c r="H26" s="52">
        <v>26666</v>
      </c>
      <c r="I26" s="52">
        <v>40394</v>
      </c>
      <c r="J26" s="52" t="s">
        <v>779</v>
      </c>
      <c r="K26" s="53" t="s">
        <v>779</v>
      </c>
      <c r="L26" s="50" t="s">
        <v>118</v>
      </c>
      <c r="M26" s="49">
        <v>1</v>
      </c>
      <c r="N26" s="49" t="s">
        <v>779</v>
      </c>
    </row>
    <row r="27" spans="2:14" s="54" customFormat="1" ht="10.5" x14ac:dyDescent="0.4">
      <c r="B27" s="49">
        <v>543215432</v>
      </c>
      <c r="C27" s="49" t="s">
        <v>367</v>
      </c>
      <c r="D27" s="49" t="s">
        <v>376</v>
      </c>
      <c r="E27" s="50" t="s">
        <v>157</v>
      </c>
      <c r="F27" s="49" t="s">
        <v>117</v>
      </c>
      <c r="G27" s="51" t="s">
        <v>122</v>
      </c>
      <c r="H27" s="52">
        <v>20489</v>
      </c>
      <c r="I27" s="52">
        <v>41334</v>
      </c>
      <c r="J27" s="52" t="s">
        <v>779</v>
      </c>
      <c r="K27" s="53" t="s">
        <v>779</v>
      </c>
      <c r="L27" s="50" t="s">
        <v>118</v>
      </c>
      <c r="M27" s="49">
        <v>1</v>
      </c>
      <c r="N27" s="49" t="s">
        <v>779</v>
      </c>
    </row>
    <row r="28" spans="2:14" s="54" customFormat="1" ht="10.5" x14ac:dyDescent="0.4">
      <c r="B28" s="49">
        <v>123451234</v>
      </c>
      <c r="C28" s="49" t="s">
        <v>159</v>
      </c>
      <c r="D28" s="49" t="s">
        <v>779</v>
      </c>
      <c r="E28" s="50" t="s">
        <v>158</v>
      </c>
      <c r="F28" s="49" t="s">
        <v>117</v>
      </c>
      <c r="G28" s="51" t="s">
        <v>122</v>
      </c>
      <c r="H28" s="52">
        <v>18884</v>
      </c>
      <c r="I28" s="52">
        <v>26874</v>
      </c>
      <c r="J28" s="52">
        <v>44044</v>
      </c>
      <c r="K28" s="53" t="s">
        <v>249</v>
      </c>
      <c r="L28" s="50" t="s">
        <v>118</v>
      </c>
      <c r="M28" s="49">
        <v>1</v>
      </c>
      <c r="N28" s="49" t="s">
        <v>779</v>
      </c>
    </row>
    <row r="29" spans="2:14" s="54" customFormat="1" ht="10.5" x14ac:dyDescent="0.4">
      <c r="B29" s="49">
        <v>543215432</v>
      </c>
      <c r="C29" s="49" t="s">
        <v>370</v>
      </c>
      <c r="D29" s="49" t="s">
        <v>374</v>
      </c>
      <c r="E29" s="50" t="s">
        <v>160</v>
      </c>
      <c r="F29" s="49" t="s">
        <v>129</v>
      </c>
      <c r="G29" s="51" t="s">
        <v>122</v>
      </c>
      <c r="H29" s="52">
        <v>35724</v>
      </c>
      <c r="I29" s="52">
        <v>42389</v>
      </c>
      <c r="J29" s="52" t="s">
        <v>779</v>
      </c>
      <c r="K29" s="53" t="s">
        <v>779</v>
      </c>
      <c r="L29" s="50" t="s">
        <v>118</v>
      </c>
      <c r="M29" s="49">
        <v>1</v>
      </c>
      <c r="N29" s="49" t="s">
        <v>779</v>
      </c>
    </row>
    <row r="30" spans="2:14" s="54" customFormat="1" ht="10.5" x14ac:dyDescent="0.4">
      <c r="B30" s="49">
        <v>123451234</v>
      </c>
      <c r="C30" s="49" t="s">
        <v>148</v>
      </c>
      <c r="D30" s="49" t="s">
        <v>779</v>
      </c>
      <c r="E30" s="50" t="s">
        <v>161</v>
      </c>
      <c r="F30" s="49" t="s">
        <v>117</v>
      </c>
      <c r="G30" s="51" t="s">
        <v>125</v>
      </c>
      <c r="H30" s="52">
        <v>26197</v>
      </c>
      <c r="I30" s="52">
        <v>37745</v>
      </c>
      <c r="J30" s="52" t="s">
        <v>779</v>
      </c>
      <c r="K30" s="53" t="s">
        <v>779</v>
      </c>
      <c r="L30" s="50" t="s">
        <v>118</v>
      </c>
      <c r="M30" s="49">
        <v>1</v>
      </c>
      <c r="N30" s="49" t="s">
        <v>779</v>
      </c>
    </row>
    <row r="31" spans="2:14" s="54" customFormat="1" ht="10.5" x14ac:dyDescent="0.4">
      <c r="B31" s="49">
        <v>543215432</v>
      </c>
      <c r="C31" s="49" t="s">
        <v>163</v>
      </c>
      <c r="D31" s="49" t="s">
        <v>779</v>
      </c>
      <c r="E31" s="50" t="s">
        <v>162</v>
      </c>
      <c r="F31" s="49" t="s">
        <v>117</v>
      </c>
      <c r="G31" s="51" t="s">
        <v>125</v>
      </c>
      <c r="H31" s="52">
        <v>29294</v>
      </c>
      <c r="I31" s="52">
        <v>37987</v>
      </c>
      <c r="J31" s="52" t="s">
        <v>779</v>
      </c>
      <c r="K31" s="53" t="s">
        <v>779</v>
      </c>
      <c r="L31" s="50" t="s">
        <v>118</v>
      </c>
      <c r="M31" s="49">
        <v>1</v>
      </c>
      <c r="N31" s="49" t="s">
        <v>779</v>
      </c>
    </row>
    <row r="32" spans="2:14" s="54" customFormat="1" ht="10.5" x14ac:dyDescent="0.4">
      <c r="B32" s="49">
        <v>123451234</v>
      </c>
      <c r="C32" s="49" t="s">
        <v>369</v>
      </c>
      <c r="D32" s="49" t="s">
        <v>374</v>
      </c>
      <c r="E32" s="50" t="s">
        <v>164</v>
      </c>
      <c r="F32" s="49" t="s">
        <v>117</v>
      </c>
      <c r="G32" s="51" t="s">
        <v>125</v>
      </c>
      <c r="H32" s="52">
        <v>25027</v>
      </c>
      <c r="I32" s="52">
        <v>43120</v>
      </c>
      <c r="J32" s="52">
        <v>44105</v>
      </c>
      <c r="K32" s="53" t="s">
        <v>257</v>
      </c>
      <c r="L32" s="50" t="s">
        <v>112</v>
      </c>
      <c r="M32" s="49">
        <v>1</v>
      </c>
      <c r="N32" s="49" t="s">
        <v>779</v>
      </c>
    </row>
    <row r="33" spans="2:14" s="54" customFormat="1" ht="10.5" x14ac:dyDescent="0.4">
      <c r="B33" s="49">
        <v>543215432</v>
      </c>
      <c r="C33" s="49" t="s">
        <v>143</v>
      </c>
      <c r="D33" s="49" t="s">
        <v>779</v>
      </c>
      <c r="E33" s="50" t="s">
        <v>165</v>
      </c>
      <c r="F33" s="49" t="s">
        <v>117</v>
      </c>
      <c r="G33" s="51" t="s">
        <v>125</v>
      </c>
      <c r="H33" s="52">
        <v>20227</v>
      </c>
      <c r="I33" s="52">
        <v>33121</v>
      </c>
      <c r="J33" s="52" t="s">
        <v>779</v>
      </c>
      <c r="K33" s="53" t="s">
        <v>779</v>
      </c>
      <c r="L33" s="50" t="s">
        <v>118</v>
      </c>
      <c r="M33" s="49">
        <v>1</v>
      </c>
      <c r="N33" s="49" t="s">
        <v>779</v>
      </c>
    </row>
    <row r="34" spans="2:14" s="54" customFormat="1" ht="10.5" x14ac:dyDescent="0.4">
      <c r="B34" s="49">
        <v>123451234</v>
      </c>
      <c r="C34" s="49" t="s">
        <v>135</v>
      </c>
      <c r="D34" s="49" t="s">
        <v>779</v>
      </c>
      <c r="E34" s="50" t="s">
        <v>166</v>
      </c>
      <c r="F34" s="49" t="s">
        <v>117</v>
      </c>
      <c r="G34" s="51" t="s">
        <v>125</v>
      </c>
      <c r="H34" s="52">
        <v>31731</v>
      </c>
      <c r="I34" s="52">
        <v>39387</v>
      </c>
      <c r="J34" s="52" t="s">
        <v>779</v>
      </c>
      <c r="K34" s="53" t="s">
        <v>779</v>
      </c>
      <c r="L34" s="50" t="s">
        <v>118</v>
      </c>
      <c r="M34" s="49">
        <v>1</v>
      </c>
      <c r="N34" s="49" t="s">
        <v>779</v>
      </c>
    </row>
    <row r="35" spans="2:14" s="54" customFormat="1" ht="10.5" x14ac:dyDescent="0.4">
      <c r="B35" s="49">
        <v>543215432</v>
      </c>
      <c r="C35" s="49" t="s">
        <v>168</v>
      </c>
      <c r="D35" s="49" t="s">
        <v>779</v>
      </c>
      <c r="E35" s="50" t="s">
        <v>167</v>
      </c>
      <c r="F35" s="49" t="s">
        <v>117</v>
      </c>
      <c r="G35" s="51" t="s">
        <v>123</v>
      </c>
      <c r="H35" s="52">
        <v>31202</v>
      </c>
      <c r="I35" s="52">
        <v>43101</v>
      </c>
      <c r="J35" s="52">
        <v>44136</v>
      </c>
      <c r="K35" s="53" t="s">
        <v>257</v>
      </c>
      <c r="L35" s="50" t="s">
        <v>112</v>
      </c>
      <c r="M35" s="49">
        <v>1</v>
      </c>
      <c r="N35" s="49" t="s">
        <v>779</v>
      </c>
    </row>
    <row r="36" spans="2:14" s="54" customFormat="1" ht="10.5" x14ac:dyDescent="0.4">
      <c r="B36" s="49">
        <v>123451234</v>
      </c>
      <c r="C36" s="49" t="s">
        <v>170</v>
      </c>
      <c r="D36" s="49" t="s">
        <v>779</v>
      </c>
      <c r="E36" s="50" t="s">
        <v>169</v>
      </c>
      <c r="F36" s="49" t="s">
        <v>117</v>
      </c>
      <c r="G36" s="51" t="s">
        <v>123</v>
      </c>
      <c r="H36" s="52">
        <v>26531</v>
      </c>
      <c r="I36" s="52">
        <v>42005</v>
      </c>
      <c r="J36" s="52" t="s">
        <v>779</v>
      </c>
      <c r="K36" s="53" t="s">
        <v>779</v>
      </c>
      <c r="L36" s="50" t="s">
        <v>118</v>
      </c>
      <c r="M36" s="49">
        <v>1</v>
      </c>
      <c r="N36" s="49" t="s">
        <v>779</v>
      </c>
    </row>
    <row r="37" spans="2:14" s="54" customFormat="1" ht="10.5" x14ac:dyDescent="0.4">
      <c r="B37" s="49">
        <v>543215432</v>
      </c>
      <c r="C37" s="49" t="s">
        <v>172</v>
      </c>
      <c r="D37" s="49" t="s">
        <v>779</v>
      </c>
      <c r="E37" s="50" t="s">
        <v>171</v>
      </c>
      <c r="F37" s="49" t="s">
        <v>117</v>
      </c>
      <c r="G37" s="51" t="s">
        <v>123</v>
      </c>
      <c r="H37" s="52">
        <v>26215</v>
      </c>
      <c r="I37" s="52">
        <v>43819</v>
      </c>
      <c r="J37" s="52">
        <v>44075</v>
      </c>
      <c r="K37" s="53" t="s">
        <v>257</v>
      </c>
      <c r="L37" s="50" t="s">
        <v>112</v>
      </c>
      <c r="M37" s="49">
        <v>1</v>
      </c>
      <c r="N37" s="49" t="s">
        <v>779</v>
      </c>
    </row>
    <row r="38" spans="2:14" s="54" customFormat="1" ht="10.5" x14ac:dyDescent="0.4">
      <c r="B38" s="49">
        <v>123451234</v>
      </c>
      <c r="C38" s="49" t="s">
        <v>174</v>
      </c>
      <c r="D38" s="49" t="s">
        <v>779</v>
      </c>
      <c r="E38" s="50" t="s">
        <v>173</v>
      </c>
      <c r="F38" s="49" t="s">
        <v>117</v>
      </c>
      <c r="G38" s="51" t="s">
        <v>123</v>
      </c>
      <c r="H38" s="52">
        <v>21688</v>
      </c>
      <c r="I38" s="52">
        <v>38141</v>
      </c>
      <c r="J38" s="52" t="s">
        <v>779</v>
      </c>
      <c r="K38" s="53" t="s">
        <v>779</v>
      </c>
      <c r="L38" s="50" t="s">
        <v>118</v>
      </c>
      <c r="M38" s="49">
        <v>1</v>
      </c>
      <c r="N38" s="49" t="s">
        <v>779</v>
      </c>
    </row>
    <row r="39" spans="2:14" s="54" customFormat="1" ht="10.5" x14ac:dyDescent="0.4">
      <c r="B39" s="49">
        <v>543215432</v>
      </c>
      <c r="C39" s="49" t="s">
        <v>367</v>
      </c>
      <c r="D39" s="49" t="s">
        <v>376</v>
      </c>
      <c r="E39" s="50" t="s">
        <v>175</v>
      </c>
      <c r="F39" s="49" t="s">
        <v>117</v>
      </c>
      <c r="G39" s="51" t="s">
        <v>123</v>
      </c>
      <c r="H39" s="52">
        <v>20548</v>
      </c>
      <c r="I39" s="52">
        <v>40360</v>
      </c>
      <c r="J39" s="52" t="s">
        <v>779</v>
      </c>
      <c r="K39" s="53" t="s">
        <v>779</v>
      </c>
      <c r="L39" s="50" t="s">
        <v>118</v>
      </c>
      <c r="M39" s="49">
        <v>1</v>
      </c>
      <c r="N39" s="49" t="s">
        <v>779</v>
      </c>
    </row>
    <row r="40" spans="2:14" s="54" customFormat="1" ht="10.5" x14ac:dyDescent="0.4">
      <c r="B40" s="49">
        <v>123451234</v>
      </c>
      <c r="C40" s="49" t="s">
        <v>368</v>
      </c>
      <c r="D40" s="49" t="s">
        <v>376</v>
      </c>
      <c r="E40" s="50" t="s">
        <v>176</v>
      </c>
      <c r="F40" s="49" t="s">
        <v>117</v>
      </c>
      <c r="G40" s="51" t="s">
        <v>123</v>
      </c>
      <c r="H40" s="52">
        <v>27554</v>
      </c>
      <c r="I40" s="52">
        <v>40360</v>
      </c>
      <c r="J40" s="52" t="s">
        <v>779</v>
      </c>
      <c r="K40" s="53" t="s">
        <v>779</v>
      </c>
      <c r="L40" s="50" t="s">
        <v>118</v>
      </c>
      <c r="M40" s="49">
        <v>1</v>
      </c>
      <c r="N40" s="49" t="s">
        <v>779</v>
      </c>
    </row>
    <row r="41" spans="2:14" s="54" customFormat="1" ht="10.5" x14ac:dyDescent="0.4">
      <c r="B41" s="49">
        <v>543215432</v>
      </c>
      <c r="C41" s="49" t="s">
        <v>178</v>
      </c>
      <c r="D41" s="49" t="s">
        <v>779</v>
      </c>
      <c r="E41" s="50" t="s">
        <v>177</v>
      </c>
      <c r="F41" s="49" t="s">
        <v>117</v>
      </c>
      <c r="G41" s="51" t="s">
        <v>120</v>
      </c>
      <c r="H41" s="52">
        <v>33367</v>
      </c>
      <c r="I41" s="52">
        <v>37438</v>
      </c>
      <c r="J41" s="52" t="s">
        <v>779</v>
      </c>
      <c r="K41" s="53" t="s">
        <v>779</v>
      </c>
      <c r="L41" s="50" t="s">
        <v>118</v>
      </c>
      <c r="M41" s="49">
        <v>1</v>
      </c>
      <c r="N41" s="49" t="s">
        <v>779</v>
      </c>
    </row>
    <row r="42" spans="2:14" s="54" customFormat="1" ht="10.5" x14ac:dyDescent="0.4">
      <c r="B42" s="49">
        <v>123451234</v>
      </c>
      <c r="C42" s="49" t="s">
        <v>367</v>
      </c>
      <c r="D42" s="49" t="s">
        <v>376</v>
      </c>
      <c r="E42" s="50" t="s">
        <v>179</v>
      </c>
      <c r="F42" s="49" t="s">
        <v>129</v>
      </c>
      <c r="G42" s="51" t="s">
        <v>531</v>
      </c>
      <c r="H42" s="52">
        <v>23044</v>
      </c>
      <c r="I42" s="52">
        <v>41456</v>
      </c>
      <c r="J42" s="52" t="s">
        <v>779</v>
      </c>
      <c r="K42" s="53" t="s">
        <v>779</v>
      </c>
      <c r="L42" s="50" t="s">
        <v>118</v>
      </c>
      <c r="M42" s="49">
        <v>1</v>
      </c>
      <c r="N42" s="49" t="s">
        <v>779</v>
      </c>
    </row>
    <row r="43" spans="2:14" s="54" customFormat="1" ht="10.5" x14ac:dyDescent="0.4">
      <c r="B43" s="49">
        <v>543215432</v>
      </c>
      <c r="C43" s="49" t="s">
        <v>181</v>
      </c>
      <c r="D43" s="49" t="s">
        <v>779</v>
      </c>
      <c r="E43" s="50" t="s">
        <v>180</v>
      </c>
      <c r="F43" s="49" t="s">
        <v>117</v>
      </c>
      <c r="G43" s="51" t="s">
        <v>531</v>
      </c>
      <c r="H43" s="52">
        <v>33728</v>
      </c>
      <c r="I43" s="52">
        <v>43132</v>
      </c>
      <c r="J43" s="52">
        <v>44075</v>
      </c>
      <c r="K43" s="53" t="s">
        <v>257</v>
      </c>
      <c r="L43" s="50" t="s">
        <v>112</v>
      </c>
      <c r="M43" s="49">
        <v>1</v>
      </c>
      <c r="N43" s="49" t="s">
        <v>779</v>
      </c>
    </row>
    <row r="44" spans="2:14" s="54" customFormat="1" ht="10.5" x14ac:dyDescent="0.4">
      <c r="B44" s="49">
        <v>123451234</v>
      </c>
      <c r="C44" s="49" t="s">
        <v>183</v>
      </c>
      <c r="D44" s="49" t="s">
        <v>779</v>
      </c>
      <c r="E44" s="50" t="s">
        <v>182</v>
      </c>
      <c r="F44" s="49" t="s">
        <v>117</v>
      </c>
      <c r="G44" s="51" t="s">
        <v>531</v>
      </c>
      <c r="H44" s="52">
        <v>32210</v>
      </c>
      <c r="I44" s="52">
        <v>38749</v>
      </c>
      <c r="J44" s="52" t="s">
        <v>779</v>
      </c>
      <c r="K44" s="53" t="s">
        <v>779</v>
      </c>
      <c r="L44" s="50" t="s">
        <v>118</v>
      </c>
      <c r="M44" s="49">
        <v>1</v>
      </c>
      <c r="N44" s="49" t="s">
        <v>779</v>
      </c>
    </row>
    <row r="45" spans="2:14" s="54" customFormat="1" ht="10.5" x14ac:dyDescent="0.4">
      <c r="B45" s="49">
        <v>543215432</v>
      </c>
      <c r="C45" s="49" t="s">
        <v>530</v>
      </c>
      <c r="D45" s="49" t="s">
        <v>529</v>
      </c>
      <c r="E45" s="50" t="s">
        <v>184</v>
      </c>
      <c r="F45" s="49" t="s">
        <v>117</v>
      </c>
      <c r="G45" s="51" t="s">
        <v>124</v>
      </c>
      <c r="H45" s="52">
        <v>31054</v>
      </c>
      <c r="I45" s="52">
        <v>40603</v>
      </c>
      <c r="J45" s="52" t="s">
        <v>779</v>
      </c>
      <c r="K45" s="53" t="s">
        <v>779</v>
      </c>
      <c r="L45" s="50" t="s">
        <v>118</v>
      </c>
      <c r="M45" s="49">
        <v>1</v>
      </c>
      <c r="N45" s="49" t="s">
        <v>779</v>
      </c>
    </row>
    <row r="46" spans="2:14" s="54" customFormat="1" ht="10.5" x14ac:dyDescent="0.4">
      <c r="B46" s="49">
        <v>123451234</v>
      </c>
      <c r="C46" s="49" t="s">
        <v>410</v>
      </c>
      <c r="D46" s="49" t="s">
        <v>779</v>
      </c>
      <c r="E46" s="50" t="s">
        <v>185</v>
      </c>
      <c r="F46" s="49" t="s">
        <v>117</v>
      </c>
      <c r="G46" s="51" t="s">
        <v>124</v>
      </c>
      <c r="H46" s="52">
        <v>35834</v>
      </c>
      <c r="I46" s="52">
        <v>42370</v>
      </c>
      <c r="J46" s="52" t="s">
        <v>779</v>
      </c>
      <c r="K46" s="53" t="s">
        <v>779</v>
      </c>
      <c r="L46" s="50" t="s">
        <v>118</v>
      </c>
      <c r="M46" s="49">
        <v>1</v>
      </c>
      <c r="N46" s="49" t="s">
        <v>779</v>
      </c>
    </row>
    <row r="47" spans="2:14" s="54" customFormat="1" ht="10.5" x14ac:dyDescent="0.4">
      <c r="B47" s="49">
        <v>543215432</v>
      </c>
      <c r="C47" s="49" t="s">
        <v>187</v>
      </c>
      <c r="D47" s="49" t="s">
        <v>779</v>
      </c>
      <c r="E47" s="50" t="s">
        <v>186</v>
      </c>
      <c r="F47" s="49" t="s">
        <v>117</v>
      </c>
      <c r="G47" s="51" t="s">
        <v>124</v>
      </c>
      <c r="H47" s="52">
        <v>29311</v>
      </c>
      <c r="I47" s="52">
        <v>43101</v>
      </c>
      <c r="J47" s="52">
        <v>44075</v>
      </c>
      <c r="K47" s="53" t="s">
        <v>257</v>
      </c>
      <c r="L47" s="50" t="s">
        <v>112</v>
      </c>
      <c r="M47" s="49">
        <v>1</v>
      </c>
      <c r="N47" s="49" t="s">
        <v>779</v>
      </c>
    </row>
    <row r="48" spans="2:14" s="54" customFormat="1" ht="10.5" x14ac:dyDescent="0.4">
      <c r="B48" s="49">
        <v>123451234</v>
      </c>
      <c r="C48" s="49" t="s">
        <v>189</v>
      </c>
      <c r="D48" s="49" t="s">
        <v>779</v>
      </c>
      <c r="E48" s="50" t="s">
        <v>188</v>
      </c>
      <c r="F48" s="49" t="s">
        <v>117</v>
      </c>
      <c r="G48" s="51" t="s">
        <v>124</v>
      </c>
      <c r="H48" s="52">
        <v>27247</v>
      </c>
      <c r="I48" s="52">
        <v>42736</v>
      </c>
      <c r="J48" s="52" t="s">
        <v>779</v>
      </c>
      <c r="K48" s="53" t="s">
        <v>779</v>
      </c>
      <c r="L48" s="50" t="s">
        <v>118</v>
      </c>
      <c r="M48" s="49">
        <v>1</v>
      </c>
      <c r="N48" s="49" t="s">
        <v>779</v>
      </c>
    </row>
    <row r="49" spans="2:14" s="54" customFormat="1" ht="10.5" x14ac:dyDescent="0.4">
      <c r="B49" s="49">
        <v>543215432</v>
      </c>
      <c r="C49" s="49" t="s">
        <v>191</v>
      </c>
      <c r="D49" s="49" t="s">
        <v>779</v>
      </c>
      <c r="E49" s="50" t="s">
        <v>190</v>
      </c>
      <c r="F49" s="49" t="s">
        <v>117</v>
      </c>
      <c r="G49" s="51" t="s">
        <v>124</v>
      </c>
      <c r="H49" s="52">
        <v>30289</v>
      </c>
      <c r="I49" s="52">
        <v>43405</v>
      </c>
      <c r="J49" s="52" t="s">
        <v>779</v>
      </c>
      <c r="K49" s="53" t="s">
        <v>779</v>
      </c>
      <c r="L49" s="50" t="s">
        <v>406</v>
      </c>
      <c r="M49" s="49">
        <v>1</v>
      </c>
      <c r="N49" s="49" t="s">
        <v>779</v>
      </c>
    </row>
    <row r="50" spans="2:14" s="54" customFormat="1" ht="10.5" x14ac:dyDescent="0.4">
      <c r="B50" s="55"/>
      <c r="C50" s="49"/>
      <c r="D50" s="49"/>
      <c r="E50" s="50"/>
      <c r="F50" s="49"/>
      <c r="G50" s="51"/>
      <c r="H50" s="52"/>
      <c r="I50" s="52"/>
      <c r="J50" s="52"/>
      <c r="K50" s="53"/>
      <c r="L50" s="50"/>
      <c r="M50" s="49"/>
      <c r="N50" s="49"/>
    </row>
    <row r="51" spans="2:14" s="54" customFormat="1" ht="10.5" x14ac:dyDescent="0.4">
      <c r="B51" s="49"/>
      <c r="C51" s="49"/>
      <c r="D51" s="49"/>
      <c r="E51" s="50"/>
      <c r="F51" s="49"/>
      <c r="G51" s="51"/>
      <c r="H51" s="52"/>
      <c r="I51" s="52"/>
      <c r="J51" s="52"/>
      <c r="K51" s="53"/>
      <c r="L51" s="50"/>
      <c r="M51" s="49"/>
      <c r="N51" s="49"/>
    </row>
    <row r="52" spans="2:14" s="54" customFormat="1" ht="10.5" x14ac:dyDescent="0.4">
      <c r="B52" s="49"/>
      <c r="C52" s="49"/>
      <c r="D52" s="49"/>
      <c r="E52" s="50"/>
      <c r="F52" s="49"/>
      <c r="G52" s="51"/>
      <c r="H52" s="52"/>
      <c r="I52" s="52"/>
      <c r="J52" s="52"/>
      <c r="K52" s="53"/>
      <c r="L52" s="50"/>
      <c r="M52" s="49"/>
      <c r="N52" s="49"/>
    </row>
    <row r="53" spans="2:14" s="54" customFormat="1" ht="10.5" x14ac:dyDescent="0.4">
      <c r="B53" s="49"/>
      <c r="C53" s="49"/>
      <c r="D53" s="49"/>
      <c r="E53" s="50"/>
      <c r="F53" s="49"/>
      <c r="G53" s="51"/>
      <c r="H53" s="52"/>
      <c r="I53" s="52"/>
      <c r="J53" s="52"/>
      <c r="K53" s="53"/>
      <c r="L53" s="50"/>
      <c r="M53" s="49"/>
      <c r="N53" s="49"/>
    </row>
    <row r="54" spans="2:14" s="54" customFormat="1" ht="10.5" x14ac:dyDescent="0.4">
      <c r="B54" s="49"/>
      <c r="C54" s="49"/>
      <c r="D54" s="49"/>
      <c r="E54" s="50"/>
      <c r="F54" s="49"/>
      <c r="G54" s="51"/>
      <c r="H54" s="52"/>
      <c r="I54" s="52"/>
      <c r="J54" s="52"/>
      <c r="K54" s="53"/>
      <c r="L54" s="50"/>
      <c r="M54" s="49"/>
      <c r="N54" s="49"/>
    </row>
    <row r="55" spans="2:14" s="54" customFormat="1" ht="10.5" x14ac:dyDescent="0.4">
      <c r="B55" s="49"/>
      <c r="C55" s="49"/>
      <c r="D55" s="49"/>
      <c r="E55" s="50"/>
      <c r="F55" s="49"/>
      <c r="G55" s="51"/>
      <c r="H55" s="52"/>
      <c r="I55" s="52"/>
      <c r="J55" s="52"/>
      <c r="K55" s="53"/>
      <c r="L55" s="50"/>
      <c r="M55" s="49"/>
      <c r="N55" s="49"/>
    </row>
    <row r="56" spans="2:14" s="54" customFormat="1" ht="10.5" x14ac:dyDescent="0.4">
      <c r="B56" s="49"/>
      <c r="C56" s="49"/>
      <c r="D56" s="49"/>
      <c r="E56" s="50"/>
      <c r="F56" s="49"/>
      <c r="G56" s="51"/>
      <c r="H56" s="52"/>
      <c r="I56" s="52"/>
      <c r="J56" s="52"/>
      <c r="K56" s="53"/>
      <c r="L56" s="50"/>
      <c r="M56" s="49"/>
      <c r="N56" s="49"/>
    </row>
    <row r="57" spans="2:14" s="54" customFormat="1" ht="10.5" x14ac:dyDescent="0.4">
      <c r="B57" s="49"/>
      <c r="C57" s="49"/>
      <c r="D57" s="49"/>
      <c r="E57" s="50"/>
      <c r="F57" s="49"/>
      <c r="G57" s="51"/>
      <c r="H57" s="52"/>
      <c r="I57" s="52"/>
      <c r="J57" s="52"/>
      <c r="K57" s="53"/>
      <c r="L57" s="50"/>
      <c r="M57" s="49"/>
      <c r="N57" s="49"/>
    </row>
    <row r="58" spans="2:14" x14ac:dyDescent="0.55000000000000004">
      <c r="B58" s="39"/>
      <c r="C58" s="39"/>
      <c r="D58" s="39"/>
      <c r="E58" s="2"/>
      <c r="F58" s="39"/>
      <c r="G58" s="43"/>
      <c r="H58" s="44"/>
      <c r="I58" s="44"/>
      <c r="J58" s="44"/>
      <c r="K58" s="3"/>
    </row>
    <row r="59" spans="2:14" x14ac:dyDescent="0.55000000000000004">
      <c r="B59" s="39"/>
      <c r="C59" s="39"/>
      <c r="D59" s="39"/>
      <c r="E59" s="2"/>
      <c r="F59" s="39"/>
      <c r="G59" s="43"/>
      <c r="H59" s="44"/>
      <c r="I59" s="44"/>
      <c r="J59" s="44"/>
      <c r="K59" s="3"/>
    </row>
    <row r="60" spans="2:14" x14ac:dyDescent="0.55000000000000004">
      <c r="B60" s="39"/>
      <c r="C60" s="39"/>
      <c r="D60" s="39"/>
      <c r="E60" s="2"/>
      <c r="F60" s="39"/>
      <c r="G60" s="43"/>
      <c r="H60" s="44"/>
      <c r="I60" s="44"/>
      <c r="J60" s="44"/>
      <c r="K60" s="3"/>
    </row>
  </sheetData>
  <sheetProtection algorithmName="SHA-512" hashValue="1Mlq/Um+fXHoJDPlXhCjfOslzwXGZZEn38d2dvZ+zaC8VF3W4juFLdeDAdyuSJtyHwe9cwq3q7XlskdX0gtJzw==" saltValue="0/fMBxNSTpYLa0GJYPGX5w==" spinCount="100000" sheet="1" objects="1" scenarios="1" selectLockedCells="1"/>
  <pageMargins left="0.7" right="0.7" top="0.75" bottom="0.75" header="0.3" footer="0.3"/>
  <pageSetup paperSize="9" orientation="landscape"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FDDB-378D-40F4-8859-384CB73AABFA}">
  <sheetPr codeName="Blad22"/>
  <dimension ref="B1:E16"/>
  <sheetViews>
    <sheetView workbookViewId="0"/>
  </sheetViews>
  <sheetFormatPr defaultRowHeight="14.4" x14ac:dyDescent="0.55000000000000004"/>
  <cols>
    <col min="1" max="1" width="2.62890625" style="6" customWidth="1"/>
    <col min="2" max="2" width="84.62890625" style="6" customWidth="1"/>
    <col min="3" max="16384" width="8.83984375" style="6"/>
  </cols>
  <sheetData>
    <row r="1" spans="2:5" ht="14.4" customHeight="1" x14ac:dyDescent="0.55000000000000004"/>
    <row r="2" spans="2:5" x14ac:dyDescent="0.55000000000000004">
      <c r="B2" s="31" t="s">
        <v>801</v>
      </c>
    </row>
    <row r="3" spans="2:5" x14ac:dyDescent="0.55000000000000004">
      <c r="B3" s="31" t="s">
        <v>794</v>
      </c>
    </row>
    <row r="4" spans="2:5" x14ac:dyDescent="0.55000000000000004">
      <c r="B4" s="31" t="s">
        <v>795</v>
      </c>
    </row>
    <row r="5" spans="2:5" x14ac:dyDescent="0.55000000000000004">
      <c r="B5" s="31"/>
    </row>
    <row r="6" spans="2:5" x14ac:dyDescent="0.55000000000000004">
      <c r="B6" s="31"/>
    </row>
    <row r="7" spans="2:5" x14ac:dyDescent="0.55000000000000004">
      <c r="B7" s="31" t="s">
        <v>804</v>
      </c>
    </row>
    <row r="8" spans="2:5" x14ac:dyDescent="0.55000000000000004">
      <c r="B8" s="31" t="s">
        <v>811</v>
      </c>
      <c r="E8" s="301" t="s">
        <v>716</v>
      </c>
    </row>
    <row r="9" spans="2:5" x14ac:dyDescent="0.55000000000000004">
      <c r="B9" s="31" t="s">
        <v>401</v>
      </c>
      <c r="E9" s="301" t="s">
        <v>717</v>
      </c>
    </row>
    <row r="10" spans="2:5" x14ac:dyDescent="0.55000000000000004">
      <c r="B10" s="31"/>
    </row>
    <row r="11" spans="2:5" x14ac:dyDescent="0.55000000000000004">
      <c r="C11" s="32"/>
    </row>
    <row r="12" spans="2:5" x14ac:dyDescent="0.55000000000000004">
      <c r="B12" s="31"/>
    </row>
    <row r="13" spans="2:5" x14ac:dyDescent="0.55000000000000004">
      <c r="B13" s="31"/>
    </row>
    <row r="14" spans="2:5" x14ac:dyDescent="0.55000000000000004">
      <c r="B14" s="30" t="s">
        <v>799</v>
      </c>
    </row>
    <row r="16" spans="2:5" ht="23.1" x14ac:dyDescent="0.85">
      <c r="B16" s="36" t="s">
        <v>725</v>
      </c>
    </row>
  </sheetData>
  <sheetProtection algorithmName="SHA-512" hashValue="2lmgAfSR6y4tZ1PZBFtmM5kZX4vHk+td0NtxxP33en5yqAy9Tty2nTjlrqN8FKu2aH7O0NlZ3O3/9KnmoYz0xQ==" saltValue="ZsVyeDr+B206HbXaO7iAcw==" spinCount="100000" sheet="1" objects="1" scenarios="1" selectLockedCells="1"/>
  <pageMargins left="0.70866141732283472" right="0.70866141732283472" top="1.3385826771653544" bottom="0.74803149606299213" header="0.31496062992125984" footer="0.31496062992125984"/>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3B623F-097F-4A64-9EC6-EE5FDAD871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22</vt:i4>
      </vt:variant>
    </vt:vector>
  </HeadingPairs>
  <TitlesOfParts>
    <vt:vector size="22" baseType="lpstr">
      <vt:lpstr>Start2</vt:lpstr>
      <vt:lpstr>Start</vt:lpstr>
      <vt:lpstr>Ontslagregeling</vt:lpstr>
      <vt:lpstr>O</vt:lpstr>
      <vt:lpstr>B</vt:lpstr>
      <vt:lpstr>UWV-ontslag</vt:lpstr>
      <vt:lpstr>U</vt:lpstr>
      <vt:lpstr>Stappenplan</vt:lpstr>
      <vt:lpstr>1. Invoer</vt:lpstr>
      <vt:lpstr>2. Ontslagpagina</vt:lpstr>
      <vt:lpstr>2. Print</vt:lpstr>
      <vt:lpstr>3. Motivatie</vt:lpstr>
      <vt:lpstr>3. WN</vt:lpstr>
      <vt:lpstr>3. WN-2</vt:lpstr>
      <vt:lpstr>4. Formulieren</vt:lpstr>
      <vt:lpstr>4. Bijlage</vt:lpstr>
      <vt:lpstr>5. VSO</vt:lpstr>
      <vt:lpstr>5. WN</vt:lpstr>
      <vt:lpstr>6. UWV-1</vt:lpstr>
      <vt:lpstr>6. UWV-2</vt:lpstr>
      <vt:lpstr>7. Bijlage</vt:lpstr>
      <vt:lpstr>8. 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dc:creator>
  <cp:lastModifiedBy>HG</cp:lastModifiedBy>
  <cp:lastPrinted>2020-05-26T12:30:26Z</cp:lastPrinted>
  <dcterms:created xsi:type="dcterms:W3CDTF">2015-06-05T18:19:34Z</dcterms:created>
  <dcterms:modified xsi:type="dcterms:W3CDTF">2020-08-20T06:16:13Z</dcterms:modified>
</cp:coreProperties>
</file>